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4915" windowHeight="12210"/>
  </bookViews>
  <sheets>
    <sheet name="Financial Metrics" sheetId="2" r:id="rId1"/>
    <sheet name="Summary-Quick Budget" sheetId="3" r:id="rId2"/>
    <sheet name="New Detailed Budget" sheetId="1" r:id="rId3"/>
  </sheets>
  <calcPr calcId="145621"/>
</workbook>
</file>

<file path=xl/calcChain.xml><?xml version="1.0" encoding="utf-8"?>
<calcChain xmlns="http://schemas.openxmlformats.org/spreadsheetml/2006/main">
  <c r="F13" i="3" l="1"/>
  <c r="B131" i="1" l="1"/>
  <c r="B140" i="1"/>
  <c r="D74" i="1"/>
  <c r="B73" i="1"/>
  <c r="B85" i="1"/>
  <c r="B115" i="1"/>
  <c r="B37" i="1"/>
  <c r="B32" i="1"/>
  <c r="B31" i="1"/>
  <c r="B14" i="2" l="1"/>
  <c r="C6" i="2"/>
  <c r="D6" i="2" s="1"/>
  <c r="B11" i="2"/>
  <c r="B12" i="2"/>
  <c r="B13" i="2" s="1"/>
  <c r="C13" i="2" s="1"/>
  <c r="D13" i="2" s="1"/>
  <c r="D12" i="2" l="1"/>
  <c r="D9" i="2"/>
  <c r="D10" i="2" s="1"/>
  <c r="C12" i="2"/>
  <c r="B16" i="3" l="1"/>
  <c r="D128" i="1" l="1"/>
  <c r="F128" i="1"/>
  <c r="H128" i="1"/>
  <c r="D129" i="1"/>
  <c r="F129" i="1"/>
  <c r="H129" i="1"/>
  <c r="D130" i="1"/>
  <c r="J130" i="1" s="1"/>
  <c r="K130" i="1" s="1"/>
  <c r="F130" i="1"/>
  <c r="H130" i="1"/>
  <c r="D131" i="1"/>
  <c r="F131" i="1"/>
  <c r="H131" i="1"/>
  <c r="D132" i="1"/>
  <c r="F132" i="1"/>
  <c r="H132" i="1"/>
  <c r="D133" i="1"/>
  <c r="F133" i="1"/>
  <c r="H133" i="1"/>
  <c r="D134" i="1"/>
  <c r="F134" i="1"/>
  <c r="H134" i="1"/>
  <c r="D135" i="1"/>
  <c r="F135" i="1"/>
  <c r="H135" i="1"/>
  <c r="D136" i="1"/>
  <c r="F136" i="1"/>
  <c r="H136" i="1"/>
  <c r="D137" i="1"/>
  <c r="J137" i="1" s="1"/>
  <c r="K137" i="1" s="1"/>
  <c r="F137" i="1"/>
  <c r="H137" i="1"/>
  <c r="D138" i="1"/>
  <c r="F138" i="1"/>
  <c r="H138" i="1"/>
  <c r="D139" i="1"/>
  <c r="F139" i="1"/>
  <c r="H139" i="1"/>
  <c r="D140" i="1"/>
  <c r="F140" i="1"/>
  <c r="H140" i="1"/>
  <c r="D141" i="1"/>
  <c r="J141" i="1" s="1"/>
  <c r="K141" i="1" s="1"/>
  <c r="F141" i="1"/>
  <c r="H141" i="1"/>
  <c r="D142" i="1"/>
  <c r="F142" i="1"/>
  <c r="J142" i="1" s="1"/>
  <c r="K142" i="1" s="1"/>
  <c r="H142" i="1"/>
  <c r="D143" i="1"/>
  <c r="F143" i="1"/>
  <c r="H143" i="1"/>
  <c r="D144" i="1"/>
  <c r="F144" i="1"/>
  <c r="H144" i="1"/>
  <c r="H127" i="1"/>
  <c r="F127" i="1"/>
  <c r="D127" i="1"/>
  <c r="D111" i="1"/>
  <c r="F111" i="1"/>
  <c r="H111" i="1"/>
  <c r="D112" i="1"/>
  <c r="F112" i="1"/>
  <c r="H112" i="1"/>
  <c r="D113" i="1"/>
  <c r="F113" i="1"/>
  <c r="H113" i="1"/>
  <c r="D114" i="1"/>
  <c r="F114" i="1"/>
  <c r="H114" i="1"/>
  <c r="D115" i="1"/>
  <c r="F115" i="1"/>
  <c r="H115" i="1"/>
  <c r="D116" i="1"/>
  <c r="F116" i="1"/>
  <c r="H116" i="1"/>
  <c r="D117" i="1"/>
  <c r="F117" i="1"/>
  <c r="H117" i="1"/>
  <c r="D118" i="1"/>
  <c r="F118" i="1"/>
  <c r="H118" i="1"/>
  <c r="D119" i="1"/>
  <c r="F119" i="1"/>
  <c r="H119" i="1"/>
  <c r="D120" i="1"/>
  <c r="F120" i="1"/>
  <c r="H120" i="1"/>
  <c r="D121" i="1"/>
  <c r="F121" i="1"/>
  <c r="H121" i="1"/>
  <c r="H110" i="1"/>
  <c r="F110" i="1"/>
  <c r="D110" i="1"/>
  <c r="D80" i="1"/>
  <c r="F80" i="1"/>
  <c r="H80" i="1"/>
  <c r="D81" i="1"/>
  <c r="F81" i="1"/>
  <c r="H81" i="1"/>
  <c r="D82" i="1"/>
  <c r="F82" i="1"/>
  <c r="H82" i="1"/>
  <c r="D83" i="1"/>
  <c r="F83" i="1"/>
  <c r="H83" i="1"/>
  <c r="D84" i="1"/>
  <c r="F84" i="1"/>
  <c r="H84" i="1"/>
  <c r="D85" i="1"/>
  <c r="F85" i="1"/>
  <c r="H85" i="1"/>
  <c r="D86" i="1"/>
  <c r="F86" i="1"/>
  <c r="H86" i="1"/>
  <c r="D87" i="1"/>
  <c r="F87" i="1"/>
  <c r="H87" i="1"/>
  <c r="D88" i="1"/>
  <c r="F88" i="1"/>
  <c r="H88" i="1"/>
  <c r="D89" i="1"/>
  <c r="F89" i="1"/>
  <c r="H89" i="1"/>
  <c r="D90" i="1"/>
  <c r="F90" i="1"/>
  <c r="H90" i="1"/>
  <c r="D91" i="1"/>
  <c r="F91" i="1"/>
  <c r="H91" i="1"/>
  <c r="D92" i="1"/>
  <c r="F92" i="1"/>
  <c r="H92" i="1"/>
  <c r="D93" i="1"/>
  <c r="F93" i="1"/>
  <c r="H93" i="1"/>
  <c r="D94" i="1"/>
  <c r="J94" i="1" s="1"/>
  <c r="K94" i="1" s="1"/>
  <c r="F94" i="1"/>
  <c r="H94" i="1"/>
  <c r="D95" i="1"/>
  <c r="F95" i="1"/>
  <c r="H95" i="1"/>
  <c r="D96" i="1"/>
  <c r="F96" i="1"/>
  <c r="H96" i="1"/>
  <c r="D97" i="1"/>
  <c r="F97" i="1"/>
  <c r="H97" i="1"/>
  <c r="D98" i="1"/>
  <c r="F98" i="1"/>
  <c r="H98" i="1"/>
  <c r="D99" i="1"/>
  <c r="F99" i="1"/>
  <c r="H99" i="1"/>
  <c r="D100" i="1"/>
  <c r="F100" i="1"/>
  <c r="H100" i="1"/>
  <c r="D101" i="1"/>
  <c r="F101" i="1"/>
  <c r="H101" i="1"/>
  <c r="D102" i="1"/>
  <c r="F102" i="1"/>
  <c r="H102" i="1"/>
  <c r="D103" i="1"/>
  <c r="F103" i="1"/>
  <c r="H103" i="1"/>
  <c r="D104" i="1"/>
  <c r="F104" i="1"/>
  <c r="H104" i="1"/>
  <c r="D105" i="1"/>
  <c r="F105" i="1"/>
  <c r="H105" i="1"/>
  <c r="D106" i="1"/>
  <c r="F106" i="1"/>
  <c r="H106" i="1"/>
  <c r="H79" i="1"/>
  <c r="F79" i="1"/>
  <c r="D79" i="1"/>
  <c r="D69" i="1"/>
  <c r="F69" i="1"/>
  <c r="H69" i="1"/>
  <c r="D70" i="1"/>
  <c r="F70" i="1"/>
  <c r="H70" i="1"/>
  <c r="D71" i="1"/>
  <c r="F71" i="1"/>
  <c r="H71" i="1"/>
  <c r="D72" i="1"/>
  <c r="F72" i="1"/>
  <c r="H72" i="1"/>
  <c r="D73" i="1"/>
  <c r="F73" i="1"/>
  <c r="H73" i="1"/>
  <c r="H68" i="1"/>
  <c r="F68" i="1"/>
  <c r="D68" i="1"/>
  <c r="F23" i="1"/>
  <c r="F22" i="1"/>
  <c r="H22" i="1"/>
  <c r="H23" i="1"/>
  <c r="H21" i="1"/>
  <c r="F21" i="1"/>
  <c r="H17" i="1"/>
  <c r="H16" i="1"/>
  <c r="F17" i="1"/>
  <c r="F16" i="1"/>
  <c r="H9" i="1"/>
  <c r="H10" i="1"/>
  <c r="H11" i="1"/>
  <c r="H12" i="1"/>
  <c r="F9" i="1"/>
  <c r="F10" i="1"/>
  <c r="F11" i="1"/>
  <c r="F12" i="1"/>
  <c r="J102" i="1" l="1"/>
  <c r="K102" i="1" s="1"/>
  <c r="J127" i="1"/>
  <c r="K127" i="1" s="1"/>
  <c r="J134" i="1"/>
  <c r="K134" i="1" s="1"/>
  <c r="J82" i="1"/>
  <c r="K82" i="1" s="1"/>
  <c r="J98" i="1"/>
  <c r="K98" i="1" s="1"/>
  <c r="J90" i="1"/>
  <c r="K90" i="1" s="1"/>
  <c r="J105" i="1"/>
  <c r="K105" i="1" s="1"/>
  <c r="J84" i="1"/>
  <c r="K84" i="1" s="1"/>
  <c r="J144" i="1"/>
  <c r="K144" i="1" s="1"/>
  <c r="J139" i="1"/>
  <c r="K139" i="1" s="1"/>
  <c r="J135" i="1"/>
  <c r="K135" i="1" s="1"/>
  <c r="J68" i="1"/>
  <c r="K68" i="1" s="1"/>
  <c r="D75" i="1"/>
  <c r="J106" i="1"/>
  <c r="K106" i="1" s="1"/>
  <c r="J89" i="1"/>
  <c r="K89" i="1" s="1"/>
  <c r="J119" i="1"/>
  <c r="K119" i="1" s="1"/>
  <c r="J111" i="1"/>
  <c r="K111" i="1" s="1"/>
  <c r="J136" i="1"/>
  <c r="K136" i="1" s="1"/>
  <c r="J100" i="1"/>
  <c r="K100" i="1" s="1"/>
  <c r="J117" i="1"/>
  <c r="K117" i="1" s="1"/>
  <c r="J138" i="1"/>
  <c r="K138" i="1" s="1"/>
  <c r="J133" i="1"/>
  <c r="K133" i="1" s="1"/>
  <c r="J128" i="1"/>
  <c r="K128" i="1" s="1"/>
  <c r="J129" i="1"/>
  <c r="K129" i="1" s="1"/>
  <c r="J140" i="1"/>
  <c r="K140" i="1" s="1"/>
  <c r="D146" i="1"/>
  <c r="J73" i="1"/>
  <c r="K73" i="1" s="1"/>
  <c r="F107" i="1"/>
  <c r="J115" i="1"/>
  <c r="K115" i="1" s="1"/>
  <c r="J95" i="1"/>
  <c r="K95" i="1" s="1"/>
  <c r="J112" i="1"/>
  <c r="K112" i="1" s="1"/>
  <c r="J86" i="1"/>
  <c r="K86" i="1" s="1"/>
  <c r="J143" i="1"/>
  <c r="K143" i="1" s="1"/>
  <c r="D122" i="1"/>
  <c r="F146" i="1"/>
  <c r="J132" i="1"/>
  <c r="K132" i="1" s="1"/>
  <c r="H146" i="1"/>
  <c r="J69" i="1"/>
  <c r="K69" i="1" s="1"/>
  <c r="F75" i="1"/>
  <c r="J71" i="1"/>
  <c r="K71" i="1" s="1"/>
  <c r="J131" i="1"/>
  <c r="J120" i="1"/>
  <c r="K120" i="1" s="1"/>
  <c r="J114" i="1"/>
  <c r="K114" i="1" s="1"/>
  <c r="F122" i="1"/>
  <c r="J121" i="1"/>
  <c r="K121" i="1" s="1"/>
  <c r="J116" i="1"/>
  <c r="K116" i="1" s="1"/>
  <c r="J118" i="1"/>
  <c r="K118" i="1" s="1"/>
  <c r="J113" i="1"/>
  <c r="K113" i="1" s="1"/>
  <c r="J110" i="1"/>
  <c r="K110" i="1" s="1"/>
  <c r="H122" i="1"/>
  <c r="H107" i="1"/>
  <c r="J101" i="1"/>
  <c r="K101" i="1" s="1"/>
  <c r="J91" i="1"/>
  <c r="K91" i="1" s="1"/>
  <c r="J85" i="1"/>
  <c r="K85" i="1" s="1"/>
  <c r="J80" i="1"/>
  <c r="K80" i="1" s="1"/>
  <c r="J103" i="1"/>
  <c r="K103" i="1" s="1"/>
  <c r="J97" i="1"/>
  <c r="K97" i="1" s="1"/>
  <c r="J92" i="1"/>
  <c r="K92" i="1" s="1"/>
  <c r="J87" i="1"/>
  <c r="K87" i="1" s="1"/>
  <c r="J81" i="1"/>
  <c r="K81" i="1" s="1"/>
  <c r="J96" i="1"/>
  <c r="K96" i="1" s="1"/>
  <c r="D107" i="1"/>
  <c r="J104" i="1"/>
  <c r="K104" i="1" s="1"/>
  <c r="J99" i="1"/>
  <c r="K99" i="1" s="1"/>
  <c r="J93" i="1"/>
  <c r="K93" i="1" s="1"/>
  <c r="J88" i="1"/>
  <c r="K88" i="1" s="1"/>
  <c r="J83" i="1"/>
  <c r="K83" i="1" s="1"/>
  <c r="J79" i="1"/>
  <c r="J72" i="1"/>
  <c r="K72" i="1" s="1"/>
  <c r="H75" i="1"/>
  <c r="J70" i="1"/>
  <c r="K70" i="1" s="1"/>
  <c r="H59" i="1"/>
  <c r="H58" i="1"/>
  <c r="H57" i="1"/>
  <c r="H56" i="1"/>
  <c r="H52" i="1"/>
  <c r="H51" i="1"/>
  <c r="H50" i="1"/>
  <c r="H49" i="1"/>
  <c r="H48" i="1"/>
  <c r="H44" i="1"/>
  <c r="H43" i="1"/>
  <c r="H42" i="1"/>
  <c r="H41" i="1"/>
  <c r="H33" i="1"/>
  <c r="H32" i="1"/>
  <c r="H31" i="1"/>
  <c r="H30" i="1"/>
  <c r="F59" i="1"/>
  <c r="F58" i="1"/>
  <c r="F57" i="1"/>
  <c r="F56" i="1"/>
  <c r="F52" i="1"/>
  <c r="F51" i="1"/>
  <c r="F50" i="1"/>
  <c r="F49" i="1"/>
  <c r="F48" i="1"/>
  <c r="F44" i="1"/>
  <c r="F43" i="1"/>
  <c r="F42" i="1"/>
  <c r="F41" i="1"/>
  <c r="F33" i="1"/>
  <c r="F32" i="1"/>
  <c r="F31" i="1"/>
  <c r="F30" i="1"/>
  <c r="D59" i="1"/>
  <c r="D58" i="1"/>
  <c r="D57" i="1"/>
  <c r="D56" i="1"/>
  <c r="D52" i="1"/>
  <c r="J52" i="1" s="1"/>
  <c r="K52" i="1" s="1"/>
  <c r="D51" i="1"/>
  <c r="D50" i="1"/>
  <c r="D49" i="1"/>
  <c r="D48" i="1"/>
  <c r="D44" i="1"/>
  <c r="D43" i="1"/>
  <c r="D42" i="1"/>
  <c r="D41" i="1"/>
  <c r="D33" i="1"/>
  <c r="D32" i="1"/>
  <c r="D31" i="1"/>
  <c r="D30" i="1"/>
  <c r="H37" i="1"/>
  <c r="H38" i="1" s="1"/>
  <c r="F37" i="1"/>
  <c r="F38" i="1" s="1"/>
  <c r="D37" i="1"/>
  <c r="H24" i="1"/>
  <c r="F24" i="1"/>
  <c r="H18" i="1"/>
  <c r="F18" i="1"/>
  <c r="F8" i="1"/>
  <c r="D23" i="1"/>
  <c r="J23" i="1" s="1"/>
  <c r="K23" i="1" s="1"/>
  <c r="D22" i="1"/>
  <c r="J22" i="1" s="1"/>
  <c r="D21" i="1"/>
  <c r="J21" i="1" s="1"/>
  <c r="K21" i="1" s="1"/>
  <c r="D17" i="1"/>
  <c r="J17" i="1" s="1"/>
  <c r="K17" i="1" s="1"/>
  <c r="D16" i="1"/>
  <c r="J16" i="1" s="1"/>
  <c r="K16" i="1" s="1"/>
  <c r="D9" i="1"/>
  <c r="J9" i="1" s="1"/>
  <c r="K9" i="1" s="1"/>
  <c r="D10" i="1"/>
  <c r="J10" i="1" s="1"/>
  <c r="K10" i="1" s="1"/>
  <c r="D11" i="1"/>
  <c r="J11" i="1" s="1"/>
  <c r="K11" i="1" s="1"/>
  <c r="D12" i="1"/>
  <c r="J12" i="1" s="1"/>
  <c r="K12" i="1" s="1"/>
  <c r="D8" i="1"/>
  <c r="D155" i="1"/>
  <c r="J59" i="1" l="1"/>
  <c r="K59" i="1" s="1"/>
  <c r="J43" i="1"/>
  <c r="K43" i="1" s="1"/>
  <c r="J58" i="1"/>
  <c r="K58" i="1" s="1"/>
  <c r="H60" i="1"/>
  <c r="J57" i="1"/>
  <c r="K57" i="1" s="1"/>
  <c r="F60" i="1"/>
  <c r="J42" i="1"/>
  <c r="K42" i="1" s="1"/>
  <c r="J18" i="1"/>
  <c r="F124" i="1"/>
  <c r="D124" i="1"/>
  <c r="J32" i="1"/>
  <c r="K32" i="1" s="1"/>
  <c r="K22" i="1"/>
  <c r="J24" i="1"/>
  <c r="K24" i="1" s="1"/>
  <c r="K131" i="1"/>
  <c r="J146" i="1"/>
  <c r="K146" i="1" s="1"/>
  <c r="J122" i="1"/>
  <c r="K122" i="1" s="1"/>
  <c r="H124" i="1"/>
  <c r="K79" i="1"/>
  <c r="J107" i="1"/>
  <c r="K107" i="1" s="1"/>
  <c r="J75" i="1"/>
  <c r="J56" i="1"/>
  <c r="K56" i="1" s="1"/>
  <c r="D60" i="1"/>
  <c r="F45" i="1"/>
  <c r="J44" i="1"/>
  <c r="K44" i="1" s="1"/>
  <c r="H45" i="1"/>
  <c r="J41" i="1"/>
  <c r="D53" i="1"/>
  <c r="J48" i="1"/>
  <c r="K48" i="1" s="1"/>
  <c r="H53" i="1"/>
  <c r="J51" i="1"/>
  <c r="K51" i="1" s="1"/>
  <c r="J50" i="1"/>
  <c r="K50" i="1" s="1"/>
  <c r="F53" i="1"/>
  <c r="J49" i="1"/>
  <c r="F34" i="1"/>
  <c r="J33" i="1"/>
  <c r="K33" i="1" s="1"/>
  <c r="J31" i="1"/>
  <c r="K31" i="1" s="1"/>
  <c r="H34" i="1"/>
  <c r="J30" i="1"/>
  <c r="D38" i="1"/>
  <c r="J37" i="1"/>
  <c r="D45" i="1"/>
  <c r="D34" i="1"/>
  <c r="F13" i="1"/>
  <c r="F25" i="1" s="1"/>
  <c r="H8" i="1"/>
  <c r="H13" i="1" s="1"/>
  <c r="H25" i="1" s="1"/>
  <c r="D13" i="1"/>
  <c r="D24" i="1"/>
  <c r="D18" i="1"/>
  <c r="J60" i="1" l="1"/>
  <c r="K60" i="1" s="1"/>
  <c r="H62" i="1"/>
  <c r="H148" i="1" s="1"/>
  <c r="J124" i="1"/>
  <c r="K124" i="1" s="1"/>
  <c r="K75" i="1"/>
  <c r="F62" i="1"/>
  <c r="F148" i="1" s="1"/>
  <c r="K41" i="1"/>
  <c r="J45" i="1"/>
  <c r="K45" i="1" s="1"/>
  <c r="K49" i="1"/>
  <c r="J53" i="1"/>
  <c r="K53" i="1" s="1"/>
  <c r="K30" i="1"/>
  <c r="K34" i="1" s="1"/>
  <c r="J34" i="1"/>
  <c r="D62" i="1"/>
  <c r="K37" i="1"/>
  <c r="J38" i="1"/>
  <c r="D25" i="1"/>
  <c r="J8" i="1"/>
  <c r="J13" i="1" s="1"/>
  <c r="J25" i="1" s="1"/>
  <c r="K25" i="1" s="1"/>
  <c r="K8" i="1" l="1"/>
  <c r="D148" i="1"/>
  <c r="H149" i="1"/>
  <c r="H150" i="1" s="1"/>
  <c r="F149" i="1"/>
  <c r="F150" i="1" s="1"/>
  <c r="K38" i="1"/>
  <c r="J62" i="1"/>
  <c r="D149" i="1" l="1"/>
  <c r="J149" i="1" s="1"/>
  <c r="D150" i="1"/>
  <c r="K62" i="1"/>
  <c r="J148" i="1"/>
  <c r="K148" i="1" s="1"/>
  <c r="D157" i="1" l="1"/>
  <c r="J150" i="1"/>
  <c r="K149" i="1"/>
  <c r="K150" i="1" s="1"/>
  <c r="C6" i="3" l="1"/>
  <c r="C7" i="3" s="1"/>
  <c r="C11" i="3" l="1"/>
  <c r="C14" i="3"/>
  <c r="C9" i="3"/>
  <c r="C13" i="3"/>
  <c r="C10" i="3"/>
  <c r="C12" i="3"/>
  <c r="F155" i="1" l="1"/>
  <c r="F157" i="1" s="1"/>
  <c r="D6" i="3"/>
  <c r="D7" i="3" s="1"/>
  <c r="H155" i="1"/>
  <c r="E6" i="3"/>
  <c r="C16" i="3"/>
  <c r="D151" i="1" s="1"/>
  <c r="D152" i="1" s="1"/>
  <c r="D153" i="1" s="1"/>
  <c r="D158" i="1"/>
  <c r="D160" i="1" l="1"/>
  <c r="D159" i="1"/>
  <c r="D14" i="3"/>
  <c r="D9" i="3"/>
  <c r="D13" i="3"/>
  <c r="D12" i="3"/>
  <c r="D11" i="3"/>
  <c r="D10" i="3"/>
  <c r="E7" i="3"/>
  <c r="F6" i="3"/>
  <c r="J155" i="1"/>
  <c r="H157" i="1"/>
  <c r="D16" i="3" l="1"/>
  <c r="F151" i="1" s="1"/>
  <c r="F152" i="1" s="1"/>
  <c r="F153" i="1" s="1"/>
  <c r="K155" i="1"/>
  <c r="K157" i="1" s="1"/>
  <c r="J157" i="1"/>
  <c r="E12" i="3"/>
  <c r="F12" i="3" s="1"/>
  <c r="E14" i="3"/>
  <c r="F14" i="3" s="1"/>
  <c r="E9" i="3"/>
  <c r="E10" i="3"/>
  <c r="F10" i="3" s="1"/>
  <c r="E13" i="3"/>
  <c r="E11" i="3"/>
  <c r="F11" i="3" s="1"/>
  <c r="F7" i="3"/>
  <c r="E16" i="3" l="1"/>
  <c r="H151" i="1" s="1"/>
  <c r="H152" i="1" s="1"/>
  <c r="H153" i="1" s="1"/>
  <c r="F9" i="3"/>
  <c r="F16" i="3" s="1"/>
  <c r="J151" i="1" s="1"/>
  <c r="J152" i="1" l="1"/>
  <c r="J153" i="1" s="1"/>
  <c r="K151" i="1"/>
  <c r="F160" i="1"/>
  <c r="C9" i="2"/>
  <c r="C10" i="2" l="1"/>
  <c r="C14" i="2" s="1"/>
  <c r="F158" i="1"/>
  <c r="F159" i="1"/>
  <c r="C11" i="2" l="1"/>
  <c r="D11" i="2"/>
  <c r="D14" i="2"/>
  <c r="H158" i="1"/>
  <c r="H160" i="1"/>
  <c r="H159" i="1"/>
</calcChain>
</file>

<file path=xl/comments1.xml><?xml version="1.0" encoding="utf-8"?>
<comments xmlns="http://schemas.openxmlformats.org/spreadsheetml/2006/main">
  <authors>
    <author>Kenneth McCall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End user technology training.  Not CPE or Firm Leadership training.  Hardware, software and Process training.  Includes train the trainer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BTC/CIO membership and consulting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maintenance contracts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routers, switches, cabling, wireless AP, etc.  Includes WAN and remote office connectivity
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monitors, mice, docking stations, etc.  Everything needed for a functional workstation
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Office equipment only
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Office equipment only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Wireless access covered in mobile data communications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projectors, TV's used for training or conference room presentation, whiteboards, etc.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printer supplies  (ink, toner, paper, etc) not already covered in leases.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tape, disk appliances, etc.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firewall, intrusion detection, spam filters, web content filters, etc.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Are these appropriate for the various environments:  Physical servers, Virtual Servers, Cloud?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framework and associated licensing costs.  Include virtual desktops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Citrix, LogMeIn, etc.
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online backup subscription services
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Antivirus, spyware control, personal firewalls, etc.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Microsoft, Adobe, and other vendors
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Includes Exchange, both on-site or hosted.  Also IM services, etc.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Sharefile, Leapfile, etc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Like SugarSynch, DropBox, etc.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For internal use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Bill.com, etc. for internal use</t>
        </r>
      </text>
    </comment>
    <comment ref="A105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Online collaboration, knowledge sharing, above and beyond content management</t>
        </r>
      </text>
    </comment>
    <comment ref="A115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 payroll, bill payment, etc.</t>
        </r>
      </text>
    </comment>
    <comment ref="A121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Include any applications used in client consulting, reselling, etc. (Non core-accounting services)</t>
        </r>
      </text>
    </comment>
    <comment ref="A141" authorId="0">
      <text>
        <r>
          <rPr>
            <b/>
            <sz val="9"/>
            <color indexed="81"/>
            <rFont val="Tahoma"/>
            <family val="2"/>
          </rPr>
          <t>Kenneth McCall:</t>
        </r>
        <r>
          <rPr>
            <sz val="9"/>
            <color indexed="81"/>
            <rFont val="Tahoma"/>
            <family val="2"/>
          </rPr>
          <t xml:space="preserve">
Combine costs if using redundant connections</t>
        </r>
      </text>
    </comment>
  </commentList>
</comments>
</file>

<file path=xl/sharedStrings.xml><?xml version="1.0" encoding="utf-8"?>
<sst xmlns="http://schemas.openxmlformats.org/spreadsheetml/2006/main" count="185" uniqueCount="163">
  <si>
    <t>IT Personnel</t>
  </si>
  <si>
    <t>Technology Staff Salaries</t>
  </si>
  <si>
    <t>Technology Staff Benefits</t>
  </si>
  <si>
    <t>Technology Staff Training, Including Travel</t>
  </si>
  <si>
    <t>Other Technology Staff Costs</t>
  </si>
  <si>
    <t>IT Staff Travel Expense</t>
  </si>
  <si>
    <t xml:space="preserve">  Total IT Personnel Costs</t>
  </si>
  <si>
    <t>Training and Support</t>
  </si>
  <si>
    <t>End User Training on IT Topics</t>
  </si>
  <si>
    <t>End user training travel costs</t>
  </si>
  <si>
    <t xml:space="preserve">  Total Training and Support</t>
  </si>
  <si>
    <t>Sourced Services</t>
  </si>
  <si>
    <t>Implementation &amp; Technical Support</t>
  </si>
  <si>
    <t>IT Planning &amp; Peer Networking</t>
  </si>
  <si>
    <t>Other Outsourced Services</t>
  </si>
  <si>
    <t xml:space="preserve">  Total Sourced Services</t>
  </si>
  <si>
    <t xml:space="preserve">Network Hardware </t>
  </si>
  <si>
    <t>Storage Hardware (SAN, etc)</t>
  </si>
  <si>
    <t>Physical Servers</t>
  </si>
  <si>
    <t>Network Infrastructure (routers, cabling, etc)</t>
  </si>
  <si>
    <t>WAN Optimization hardware</t>
  </si>
  <si>
    <t>Office User Hardware</t>
  </si>
  <si>
    <t>Scanning and Printing</t>
  </si>
  <si>
    <t>Scanners</t>
  </si>
  <si>
    <t>Printers</t>
  </si>
  <si>
    <t>Copiers</t>
  </si>
  <si>
    <t>Multi-Function Devices</t>
  </si>
  <si>
    <t>Field Support Kits</t>
  </si>
  <si>
    <t>Routers (wired and wireless)</t>
  </si>
  <si>
    <t>Mobile Scanners</t>
  </si>
  <si>
    <t>Mobile Printers</t>
  </si>
  <si>
    <t>Mobile Monitors</t>
  </si>
  <si>
    <t>Other</t>
  </si>
  <si>
    <t>Other Hardware &amp; Supplies</t>
  </si>
  <si>
    <t>Presentation &amp; Training Equipment</t>
  </si>
  <si>
    <t>Supplies</t>
  </si>
  <si>
    <t>Backup and disaster recovery hardware</t>
  </si>
  <si>
    <t>Security Hardware</t>
  </si>
  <si>
    <t>SOFTWARE (including Cloud Applications)</t>
  </si>
  <si>
    <t>Server/Infrastructure  Applications</t>
  </si>
  <si>
    <t>Primary Server OS and CALs</t>
  </si>
  <si>
    <t>Virtualization Software</t>
  </si>
  <si>
    <t>Patch Management</t>
  </si>
  <si>
    <t>Remote Access Platform</t>
  </si>
  <si>
    <t>Backup and disaster recovery software</t>
  </si>
  <si>
    <t>Network security software</t>
  </si>
  <si>
    <t>User Applications</t>
  </si>
  <si>
    <t>Firm Management Applications</t>
  </si>
  <si>
    <t>Microsoft Software Assurance</t>
  </si>
  <si>
    <t>Client OS</t>
  </si>
  <si>
    <t>Groupware/Messaging</t>
  </si>
  <si>
    <t>EMail Archiving</t>
  </si>
  <si>
    <t>Email Encryption</t>
  </si>
  <si>
    <t>Office Suite (WP/SS/etc)</t>
  </si>
  <si>
    <t>Practice Management (T&amp;B)</t>
  </si>
  <si>
    <t>Content (Document) Management</t>
  </si>
  <si>
    <t>Client Portal</t>
  </si>
  <si>
    <t>Secure File Transfer</t>
  </si>
  <si>
    <t>Syncronized File Sharing</t>
  </si>
  <si>
    <t>CRM</t>
  </si>
  <si>
    <t>Staff Scheduling</t>
  </si>
  <si>
    <t>Project Workflow</t>
  </si>
  <si>
    <t>Human Resources</t>
  </si>
  <si>
    <t>Recruit Tracking</t>
  </si>
  <si>
    <t>Payroll</t>
  </si>
  <si>
    <t>General Ledger</t>
  </si>
  <si>
    <t>Payment Processing</t>
  </si>
  <si>
    <t>Survey Tools</t>
  </si>
  <si>
    <t>Budgeting/Forecasting</t>
  </si>
  <si>
    <t>Procurement</t>
  </si>
  <si>
    <t>Learning Management System (LMS)</t>
  </si>
  <si>
    <t>Performance Evaluation</t>
  </si>
  <si>
    <t>Intranet</t>
  </si>
  <si>
    <t>Help Desk Software</t>
  </si>
  <si>
    <t>Knowledge Management</t>
  </si>
  <si>
    <t>Other Firm Management Applications</t>
  </si>
  <si>
    <t>Client Production Applications</t>
  </si>
  <si>
    <t>Tax - Business</t>
  </si>
  <si>
    <t>Tax - Personal</t>
  </si>
  <si>
    <t>Tax Research</t>
  </si>
  <si>
    <t>Depreciation</t>
  </si>
  <si>
    <t>Tax Outsourcing</t>
  </si>
  <si>
    <t>Client Accounting Solution</t>
  </si>
  <si>
    <t>Audit Automation</t>
  </si>
  <si>
    <t>Audit Research</t>
  </si>
  <si>
    <t>Data Extraction</t>
  </si>
  <si>
    <t>Business Intelligence</t>
  </si>
  <si>
    <t>Automated Scanning Tool</t>
  </si>
  <si>
    <t>Other Client Production Applications</t>
  </si>
  <si>
    <t>Telephone Systems (PBX or VOIP)</t>
  </si>
  <si>
    <t>Hardware Components</t>
  </si>
  <si>
    <t>Software Components</t>
  </si>
  <si>
    <t>Mobile Device Communications</t>
  </si>
  <si>
    <t>Smartphone Hardware</t>
  </si>
  <si>
    <t>Tablet Hardware</t>
  </si>
  <si>
    <t>Service and Data Plans</t>
  </si>
  <si>
    <t>Mobile Device Management</t>
  </si>
  <si>
    <t>Videoconferencing / Collaboration</t>
  </si>
  <si>
    <t>Communication Services</t>
  </si>
  <si>
    <t>Voice</t>
  </si>
  <si>
    <t>Data</t>
  </si>
  <si>
    <t xml:space="preserve">Website </t>
  </si>
  <si>
    <t>Development and Maintenance</t>
  </si>
  <si>
    <t>Hosting Fees</t>
  </si>
  <si>
    <t>Year 1</t>
  </si>
  <si>
    <t>Year 2</t>
  </si>
  <si>
    <t>Year 3</t>
  </si>
  <si>
    <t>Firm Revenue</t>
  </si>
  <si>
    <t>Anticipated Growth in Revenue</t>
  </si>
  <si>
    <t>Projected Growth in Revenue per FTE</t>
  </si>
  <si>
    <t>Total Hours Worked</t>
  </si>
  <si>
    <t>Total Charge Hours</t>
  </si>
  <si>
    <t>Percent Chargeable</t>
  </si>
  <si>
    <t>Calculated FTEs</t>
  </si>
  <si>
    <t>Revenue per FTE</t>
  </si>
  <si>
    <t>Quick Budget</t>
  </si>
  <si>
    <t>Revenue</t>
  </si>
  <si>
    <t>IT Budget</t>
  </si>
  <si>
    <t>Software</t>
  </si>
  <si>
    <t>Contingency</t>
  </si>
  <si>
    <t>Staff and Personnel</t>
  </si>
  <si>
    <t>Hardware and Equipment</t>
  </si>
  <si>
    <t>Communications</t>
  </si>
  <si>
    <t>Current Year Depreciation</t>
  </si>
  <si>
    <t>Estimate</t>
  </si>
  <si>
    <t>Total</t>
  </si>
  <si>
    <t>Average</t>
  </si>
  <si>
    <t>Price</t>
  </si>
  <si>
    <t>#</t>
  </si>
  <si>
    <t>Amount</t>
  </si>
  <si>
    <t>%</t>
  </si>
  <si>
    <t>Subtotal</t>
  </si>
  <si>
    <t>Total IT Investment</t>
  </si>
  <si>
    <t>Budgeted Revenue</t>
  </si>
  <si>
    <t>Technology as a % of revenue</t>
  </si>
  <si>
    <t>Total Software Expense</t>
  </si>
  <si>
    <t>Total Communications Expense</t>
  </si>
  <si>
    <t>COMMUNICATIONS</t>
  </si>
  <si>
    <t>HARDWARE AND EQUIPMENT</t>
  </si>
  <si>
    <t>Total Staff and Personnel Expense</t>
  </si>
  <si>
    <t>STAFF &amp; PERSONNEL</t>
  </si>
  <si>
    <t>Total Equipment and Hardware Expense</t>
  </si>
  <si>
    <t xml:space="preserve">  Total Network Hardware</t>
  </si>
  <si>
    <t>Computers and monitors for office use</t>
  </si>
  <si>
    <t xml:space="preserve">  Total Office User Hardware</t>
  </si>
  <si>
    <t xml:space="preserve">  Total Scanning and Printing</t>
  </si>
  <si>
    <t xml:space="preserve">  Total Field Support Kits</t>
  </si>
  <si>
    <t xml:space="preserve">  Total Other Hardware and Supplies</t>
  </si>
  <si>
    <t xml:space="preserve">  Total Server/Infrastructure Applications</t>
  </si>
  <si>
    <t xml:space="preserve">  Total Firm Management Applications</t>
  </si>
  <si>
    <t xml:space="preserve">  Total Client Production Applications</t>
  </si>
  <si>
    <t>Projected FTE</t>
  </si>
  <si>
    <t>Quick Budget Estimate</t>
  </si>
  <si>
    <t>Over/Under ($)</t>
  </si>
  <si>
    <t>Over/Under (%)</t>
  </si>
  <si>
    <t>Revenue per Charge Hour</t>
  </si>
  <si>
    <t>Other Server/Infrastructure software</t>
  </si>
  <si>
    <t>Technology Cost per FTE</t>
  </si>
  <si>
    <t>The Boomer Budget Builder™</t>
  </si>
  <si>
    <r>
      <t xml:space="preserve">With Sample Data for </t>
    </r>
    <r>
      <rPr>
        <i/>
        <sz val="10"/>
        <color rgb="FFE5802B"/>
        <rFont val="Arial"/>
        <family val="2"/>
      </rPr>
      <t xml:space="preserve">The Journey Ahead </t>
    </r>
    <r>
      <rPr>
        <sz val="10"/>
        <color theme="1"/>
        <rFont val="Arial"/>
        <family val="2"/>
      </rPr>
      <t>by Sandra Wiley</t>
    </r>
  </si>
  <si>
    <t>BM*</t>
  </si>
  <si>
    <t>User input required for yellow cells</t>
  </si>
  <si>
    <t>*Benchmark percentages based on 2012 metrics provided by Boomer Consulting,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</si>
</sst>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_);[Red]_(* \(###0\);_(* &quot;-&quot;_0_0_);_(@_)"/>
    <numFmt numFmtId="165" formatCode="_(* #,##0.0_);[Red]_(* \(#,##0.0\);_(* &quot;-&quot;_0_0_._0_);_(@_)"/>
    <numFmt numFmtId="166" formatCode="_(&quot;$&quot;* #,##0.0_);[Red]_(&quot;$&quot;* \(#,##0.0\);_(&quot;$&quot;* &quot;-&quot;_0_0_._0_);_(@_)"/>
    <numFmt numFmtId="167" formatCode="_(* #,##0_);_(* \(#,##0\);_(* &quot;-   &quot;_);_(@_)"/>
    <numFmt numFmtId="168" formatCode="_(&quot;$&quot;* #,##0_);_(&quot;$&quot;* \(#,##0\);_(&quot;$&quot;* &quot;-   &quot;_);_(@_)"/>
    <numFmt numFmtId="169" formatCode="_(* #,##0%_);[Red]_(* \(#,##0%\);_(* &quot;-&quot;_0\%_);_(@_)"/>
    <numFmt numFmtId="170" formatCode="_(* #,##0.0%_);[Red]_(* \(#,##0.0%\);_(* &quot;-&quot;_._0\%_);_(@_)"/>
    <numFmt numFmtId="171" formatCode="_(* #,##0_);[Red]_(* \(#,##0\);_(* &quot;-&quot;_0_0_);_(@_)"/>
    <numFmt numFmtId="172" formatCode="_(&quot;$&quot;* #,##0_);_(&quot;$&quot;* \(#,##0\);_(&quot;$&quot;* &quot;-&quot;??_);_(@_)"/>
    <numFmt numFmtId="173" formatCode="_(* #,##0_);_(* \(#,##0\);_(* &quot;-&quot;??_);_(@_)"/>
    <numFmt numFmtId="174" formatCode="0.0%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Humanst521 BT"/>
      <family val="2"/>
    </font>
    <font>
      <sz val="11"/>
      <name val="Times New Roman"/>
      <family val="1"/>
    </font>
    <font>
      <u val="singleAccounting"/>
      <sz val="12"/>
      <name val="Humanst521 BT"/>
      <family val="2"/>
    </font>
    <font>
      <u val="doubleAccounting"/>
      <sz val="12"/>
      <name val="Humanst521 BT"/>
      <family val="2"/>
    </font>
    <font>
      <b/>
      <u val="doubleAccounting"/>
      <sz val="12"/>
      <name val="Humanst521 BT"/>
      <family val="2"/>
    </font>
    <font>
      <sz val="12"/>
      <name val="Humanst521 XBd BT"/>
      <family val="2"/>
    </font>
    <font>
      <u val="doubleAccounting"/>
      <sz val="10"/>
      <name val="Arial"/>
      <family val="2"/>
    </font>
    <font>
      <b/>
      <u/>
      <sz val="10"/>
      <name val="Arial"/>
      <family val="2"/>
    </font>
    <font>
      <b/>
      <sz val="11"/>
      <color indexed="18"/>
      <name val="Arial"/>
      <family val="2"/>
    </font>
    <font>
      <b/>
      <sz val="9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color rgb="FF00206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i/>
      <sz val="10"/>
      <color rgb="FFE5802B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4">
    <xf numFmtId="0" fontId="0" fillId="0" borderId="0"/>
    <xf numFmtId="43" fontId="3" fillId="0" borderId="0" applyFont="0" applyFill="0" applyBorder="0" applyAlignment="0" applyProtection="0"/>
    <xf numFmtId="5" fontId="4" fillId="0" borderId="0"/>
    <xf numFmtId="49" fontId="14" fillId="0" borderId="0" applyFont="0">
      <alignment horizontal="centerContinuous" wrapText="1"/>
    </xf>
    <xf numFmtId="49" fontId="15" fillId="0" borderId="0">
      <alignment horizontal="centerContinuous" wrapText="1"/>
    </xf>
    <xf numFmtId="49" fontId="16" fillId="0" borderId="0">
      <alignment horizontal="center" wrapText="1"/>
    </xf>
    <xf numFmtId="49" fontId="16" fillId="0" borderId="0">
      <alignment horizontal="centerContinuous" wrapText="1"/>
    </xf>
    <xf numFmtId="164" fontId="3" fillId="0" borderId="0" applyFill="0" applyBorder="0">
      <alignment horizontal="center" wrapText="1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67" fontId="17" fillId="0" borderId="0">
      <alignment horizontal="left"/>
    </xf>
    <xf numFmtId="0" fontId="3" fillId="0" borderId="0" applyFont="0" applyFill="0" applyBorder="0" applyProtection="0"/>
    <xf numFmtId="49" fontId="14" fillId="0" borderId="0"/>
    <xf numFmtId="168" fontId="17" fillId="0" borderId="0"/>
    <xf numFmtId="168" fontId="14" fillId="0" borderId="0"/>
    <xf numFmtId="168" fontId="18" fillId="0" borderId="0"/>
    <xf numFmtId="167" fontId="14" fillId="0" borderId="0"/>
    <xf numFmtId="167" fontId="16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9" fontId="14" fillId="0" borderId="0">
      <alignment horizontal="left" indent="2"/>
    </xf>
    <xf numFmtId="49" fontId="14" fillId="0" borderId="0">
      <alignment horizontal="left" indent="4"/>
    </xf>
    <xf numFmtId="49" fontId="14" fillId="0" borderId="0">
      <alignment horizontal="left" indent="6"/>
    </xf>
    <xf numFmtId="49" fontId="14" fillId="0" borderId="0">
      <alignment horizontal="left" indent="8"/>
    </xf>
    <xf numFmtId="49" fontId="14" fillId="0" borderId="0">
      <alignment horizontal="left"/>
    </xf>
    <xf numFmtId="49" fontId="19" fillId="0" borderId="0">
      <alignment horizontal="left" indent="4"/>
    </xf>
    <xf numFmtId="49" fontId="15" fillId="0" borderId="0" applyFont="0">
      <alignment horizontal="left" indent="10"/>
    </xf>
    <xf numFmtId="171" fontId="20" fillId="0" borderId="0" applyNumberFormat="0" applyFill="0" applyBorder="0" applyAlignment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6" applyNumberFormat="0" applyAlignment="0" applyProtection="0"/>
    <xf numFmtId="0" fontId="35" fillId="11" borderId="7" applyNumberFormat="0" applyAlignment="0" applyProtection="0"/>
    <xf numFmtId="0" fontId="36" fillId="11" borderId="6" applyNumberFormat="0" applyAlignment="0" applyProtection="0"/>
    <xf numFmtId="0" fontId="37" fillId="0" borderId="8" applyNumberFormat="0" applyFill="0" applyAlignment="0" applyProtection="0"/>
    <xf numFmtId="0" fontId="38" fillId="12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2" fillId="3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3" borderId="1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10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171" fontId="11" fillId="0" borderId="0" applyNumberFormat="0" applyFill="0" applyBorder="0"/>
    <xf numFmtId="0" fontId="3" fillId="0" borderId="0"/>
  </cellStyleXfs>
  <cellXfs count="138">
    <xf numFmtId="0" fontId="0" fillId="0" borderId="0" xfId="0"/>
    <xf numFmtId="5" fontId="5" fillId="0" borderId="0" xfId="2" applyNumberFormat="1" applyFont="1" applyFill="1" applyBorder="1" applyAlignment="1" applyProtection="1">
      <alignment horizontal="left"/>
    </xf>
    <xf numFmtId="5" fontId="3" fillId="0" borderId="0" xfId="2" applyNumberFormat="1" applyFont="1" applyFill="1" applyBorder="1" applyAlignment="1" applyProtection="1">
      <alignment horizontal="left"/>
    </xf>
    <xf numFmtId="5" fontId="5" fillId="0" borderId="0" xfId="2" applyNumberFormat="1" applyFont="1" applyAlignment="1" applyProtection="1">
      <alignment horizontal="left"/>
    </xf>
    <xf numFmtId="5" fontId="3" fillId="0" borderId="0" xfId="2" applyNumberFormat="1" applyFont="1" applyFill="1" applyAlignment="1" applyProtection="1">
      <alignment horizontal="left"/>
    </xf>
    <xf numFmtId="5" fontId="6" fillId="0" borderId="0" xfId="2" applyNumberFormat="1" applyFont="1" applyAlignment="1" applyProtection="1">
      <alignment horizontal="left"/>
    </xf>
    <xf numFmtId="43" fontId="7" fillId="0" borderId="0" xfId="1" applyFont="1" applyBorder="1" applyAlignment="1">
      <alignment vertical="top"/>
    </xf>
    <xf numFmtId="5" fontId="3" fillId="0" borderId="0" xfId="2" applyFont="1" applyFill="1" applyProtection="1"/>
    <xf numFmtId="5" fontId="8" fillId="0" borderId="0" xfId="2" applyFont="1" applyFill="1" applyProtection="1"/>
    <xf numFmtId="0" fontId="0" fillId="0" borderId="0" xfId="0" applyFill="1"/>
    <xf numFmtId="43" fontId="9" fillId="0" borderId="0" xfId="1" applyFont="1" applyBorder="1" applyAlignment="1">
      <alignment vertical="top"/>
    </xf>
    <xf numFmtId="43" fontId="3" fillId="0" borderId="0" xfId="1" applyFont="1" applyBorder="1" applyAlignment="1">
      <alignment vertical="top"/>
    </xf>
    <xf numFmtId="43" fontId="3" fillId="0" borderId="0" xfId="1" applyFont="1" applyFill="1" applyBorder="1" applyAlignment="1">
      <alignment vertical="top"/>
    </xf>
    <xf numFmtId="43" fontId="3" fillId="0" borderId="0" xfId="1" applyFont="1" applyBorder="1" applyAlignment="1">
      <alignment horizontal="right" vertical="top"/>
    </xf>
    <xf numFmtId="43" fontId="3" fillId="0" borderId="0" xfId="1" applyFont="1" applyBorder="1" applyAlignment="1">
      <alignment horizontal="left" vertical="top"/>
    </xf>
    <xf numFmtId="5" fontId="3" fillId="0" borderId="0" xfId="2" applyNumberFormat="1" applyFont="1" applyFill="1" applyAlignment="1" applyProtection="1">
      <alignment horizontal="right"/>
    </xf>
    <xf numFmtId="5" fontId="8" fillId="0" borderId="0" xfId="2" applyNumberFormat="1" applyFont="1" applyFill="1" applyAlignment="1" applyProtection="1">
      <alignment horizontal="right"/>
    </xf>
    <xf numFmtId="0" fontId="11" fillId="0" borderId="0" xfId="0" applyFont="1"/>
    <xf numFmtId="173" fontId="0" fillId="0" borderId="0" xfId="1" applyNumberFormat="1" applyFont="1"/>
    <xf numFmtId="9" fontId="0" fillId="0" borderId="0" xfId="31" applyFont="1"/>
    <xf numFmtId="0" fontId="3" fillId="0" borderId="0" xfId="0" applyFont="1" applyFill="1"/>
    <xf numFmtId="0" fontId="0" fillId="0" borderId="0" xfId="0" applyFill="1" applyAlignment="1">
      <alignment horizontal="center"/>
    </xf>
    <xf numFmtId="173" fontId="0" fillId="0" borderId="0" xfId="1" applyNumberFormat="1" applyFont="1" applyFill="1"/>
    <xf numFmtId="10" fontId="5" fillId="0" borderId="0" xfId="31" applyNumberFormat="1" applyFont="1" applyFill="1"/>
    <xf numFmtId="10" fontId="5" fillId="0" borderId="0" xfId="31" applyNumberFormat="1" applyFont="1" applyFill="1" applyAlignment="1">
      <alignment horizontal="center"/>
    </xf>
    <xf numFmtId="0" fontId="5" fillId="0" borderId="0" xfId="0" applyFont="1"/>
    <xf numFmtId="5" fontId="26" fillId="0" borderId="0" xfId="2" applyNumberFormat="1" applyFont="1" applyAlignment="1" applyProtection="1">
      <alignment horizontal="left"/>
    </xf>
    <xf numFmtId="173" fontId="5" fillId="0" borderId="0" xfId="1" applyNumberFormat="1" applyFont="1" applyFill="1" applyAlignment="1">
      <alignment horizontal="center"/>
    </xf>
    <xf numFmtId="173" fontId="5" fillId="0" borderId="0" xfId="1" applyNumberFormat="1" applyFont="1" applyAlignment="1">
      <alignment horizontal="center"/>
    </xf>
    <xf numFmtId="173" fontId="7" fillId="0" borderId="0" xfId="1" applyNumberFormat="1" applyFont="1" applyBorder="1" applyAlignment="1">
      <alignment vertical="top"/>
    </xf>
    <xf numFmtId="173" fontId="3" fillId="0" borderId="0" xfId="1" applyNumberFormat="1" applyFont="1" applyFill="1" applyProtection="1"/>
    <xf numFmtId="173" fontId="9" fillId="0" borderId="0" xfId="1" applyNumberFormat="1" applyFont="1" applyFill="1" applyBorder="1" applyAlignment="1">
      <alignment vertical="top"/>
    </xf>
    <xf numFmtId="173" fontId="9" fillId="0" borderId="0" xfId="1" applyNumberFormat="1" applyFont="1" applyBorder="1" applyAlignment="1">
      <alignment vertical="top"/>
    </xf>
    <xf numFmtId="173" fontId="10" fillId="0" borderId="0" xfId="1" applyNumberFormat="1" applyFont="1" applyBorder="1" applyAlignment="1">
      <alignment vertical="top"/>
    </xf>
    <xf numFmtId="173" fontId="8" fillId="0" borderId="0" xfId="1" applyNumberFormat="1" applyFont="1"/>
    <xf numFmtId="173" fontId="11" fillId="0" borderId="0" xfId="1" applyNumberFormat="1" applyFont="1" applyBorder="1" applyAlignment="1">
      <alignment vertical="top"/>
    </xf>
    <xf numFmtId="173" fontId="0" fillId="0" borderId="0" xfId="0" applyNumberFormat="1"/>
    <xf numFmtId="5" fontId="5" fillId="4" borderId="0" xfId="2" applyNumberFormat="1" applyFont="1" applyFill="1" applyBorder="1" applyAlignment="1" applyProtection="1">
      <alignment horizontal="left"/>
    </xf>
    <xf numFmtId="173" fontId="0" fillId="4" borderId="0" xfId="1" applyNumberFormat="1" applyFont="1" applyFill="1"/>
    <xf numFmtId="0" fontId="0" fillId="4" borderId="0" xfId="0" applyFill="1"/>
    <xf numFmtId="173" fontId="0" fillId="3" borderId="0" xfId="1" applyNumberFormat="1" applyFont="1" applyFill="1"/>
    <xf numFmtId="5" fontId="6" fillId="3" borderId="0" xfId="2" applyNumberFormat="1" applyFont="1" applyFill="1" applyAlignment="1" applyProtection="1">
      <alignment horizontal="left"/>
    </xf>
    <xf numFmtId="5" fontId="26" fillId="5" borderId="0" xfId="2" applyNumberFormat="1" applyFont="1" applyFill="1" applyAlignment="1" applyProtection="1">
      <alignment horizontal="left"/>
    </xf>
    <xf numFmtId="173" fontId="0" fillId="5" borderId="0" xfId="1" applyNumberFormat="1" applyFont="1" applyFill="1"/>
    <xf numFmtId="5" fontId="5" fillId="6" borderId="0" xfId="2" applyNumberFormat="1" applyFont="1" applyFill="1" applyBorder="1" applyAlignment="1" applyProtection="1">
      <alignment horizontal="left"/>
    </xf>
    <xf numFmtId="173" fontId="0" fillId="6" borderId="0" xfId="1" applyNumberFormat="1" applyFont="1" applyFill="1"/>
    <xf numFmtId="10" fontId="0" fillId="0" borderId="0" xfId="31" applyNumberFormat="1" applyFont="1"/>
    <xf numFmtId="5" fontId="0" fillId="0" borderId="0" xfId="2" applyNumberFormat="1" applyFont="1" applyFill="1" applyBorder="1" applyAlignment="1" applyProtection="1">
      <alignment horizontal="left"/>
    </xf>
    <xf numFmtId="173" fontId="0" fillId="4" borderId="0" xfId="0" applyNumberFormat="1" applyFill="1"/>
    <xf numFmtId="173" fontId="0" fillId="6" borderId="0" xfId="0" applyNumberFormat="1" applyFill="1"/>
    <xf numFmtId="173" fontId="5" fillId="0" borderId="0" xfId="1" applyNumberFormat="1" applyFont="1" applyFill="1" applyAlignment="1">
      <alignment horizontal="center"/>
    </xf>
    <xf numFmtId="0" fontId="0" fillId="5" borderId="0" xfId="0" applyFill="1"/>
    <xf numFmtId="9" fontId="0" fillId="5" borderId="0" xfId="31" applyFont="1" applyFill="1"/>
    <xf numFmtId="5" fontId="6" fillId="5" borderId="0" xfId="2" applyNumberFormat="1" applyFont="1" applyFill="1" applyAlignment="1" applyProtection="1">
      <alignment horizontal="left"/>
    </xf>
    <xf numFmtId="43" fontId="8" fillId="0" borderId="0" xfId="1" applyFont="1" applyBorder="1" applyAlignment="1">
      <alignment vertical="top"/>
    </xf>
    <xf numFmtId="172" fontId="3" fillId="0" borderId="0" xfId="80" applyNumberFormat="1" applyFont="1" applyFill="1" applyBorder="1"/>
    <xf numFmtId="173" fontId="0" fillId="0" borderId="0" xfId="1" applyNumberFormat="1" applyFont="1" applyFill="1" applyAlignment="1" applyProtection="1">
      <alignment wrapText="1"/>
    </xf>
    <xf numFmtId="172" fontId="44" fillId="38" borderId="0" xfId="80" applyNumberFormat="1" applyFont="1" applyFill="1" applyAlignment="1" applyProtection="1">
      <alignment horizontal="left"/>
    </xf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3" fillId="0" borderId="0" xfId="80" applyNumberFormat="1" applyFont="1" applyFill="1" applyBorder="1" applyAlignment="1" applyProtection="1">
      <alignment horizontal="left"/>
    </xf>
    <xf numFmtId="172" fontId="3" fillId="0" borderId="0" xfId="80" applyNumberFormat="1" applyFont="1" applyFill="1" applyBorder="1"/>
    <xf numFmtId="172" fontId="3" fillId="0" borderId="0" xfId="80" applyNumberFormat="1" applyFont="1" applyFill="1" applyBorder="1" applyProtection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2" fontId="43" fillId="0" borderId="0" xfId="80" applyNumberFormat="1" applyFont="1" applyFill="1" applyBorder="1"/>
    <xf numFmtId="173" fontId="0" fillId="0" borderId="0" xfId="1" applyNumberFormat="1" applyFont="1" applyFill="1"/>
    <xf numFmtId="172" fontId="0" fillId="0" borderId="0" xfId="80" applyNumberFormat="1" applyFont="1" applyFill="1" applyBorder="1"/>
    <xf numFmtId="173" fontId="0" fillId="0" borderId="0" xfId="1" applyNumberFormat="1" applyFont="1" applyFill="1"/>
    <xf numFmtId="172" fontId="0" fillId="0" borderId="0" xfId="80" applyNumberFormat="1" applyFont="1" applyFill="1" applyBorder="1"/>
    <xf numFmtId="172" fontId="0" fillId="0" borderId="0" xfId="80" applyNumberFormat="1" applyFont="1" applyFill="1" applyBorder="1"/>
    <xf numFmtId="172" fontId="0" fillId="0" borderId="0" xfId="80" applyNumberFormat="1" applyFont="1" applyFill="1" applyBorder="1"/>
    <xf numFmtId="172" fontId="0" fillId="0" borderId="0" xfId="80" applyNumberFormat="1" applyFont="1" applyFill="1" applyBorder="1"/>
    <xf numFmtId="173" fontId="5" fillId="0" borderId="0" xfId="1" applyNumberFormat="1" applyFont="1" applyAlignment="1">
      <alignment horizontal="center"/>
    </xf>
    <xf numFmtId="173" fontId="5" fillId="0" borderId="0" xfId="1" applyNumberFormat="1" applyFont="1" applyFill="1" applyAlignment="1">
      <alignment horizontal="center"/>
    </xf>
    <xf numFmtId="0" fontId="0" fillId="0" borderId="0" xfId="0" applyBorder="1"/>
    <xf numFmtId="5" fontId="26" fillId="0" borderId="0" xfId="2" applyNumberFormat="1" applyFont="1" applyBorder="1" applyAlignment="1" applyProtection="1">
      <alignment horizontal="left"/>
    </xf>
    <xf numFmtId="0" fontId="47" fillId="2" borderId="0" xfId="72" applyFont="1" applyFill="1" applyAlignment="1">
      <alignment horizontal="left" indent="3"/>
    </xf>
    <xf numFmtId="0" fontId="0" fillId="0" borderId="0" xfId="0" applyFill="1" applyBorder="1"/>
    <xf numFmtId="0" fontId="21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indent="3"/>
    </xf>
    <xf numFmtId="172" fontId="24" fillId="0" borderId="2" xfId="29" applyNumberFormat="1" applyFont="1" applyFill="1" applyBorder="1" applyAlignment="1"/>
    <xf numFmtId="172" fontId="0" fillId="0" borderId="12" xfId="0" applyNumberFormat="1" applyFill="1" applyBorder="1"/>
    <xf numFmtId="0" fontId="0" fillId="0" borderId="12" xfId="0" applyFill="1" applyBorder="1"/>
    <xf numFmtId="173" fontId="0" fillId="0" borderId="12" xfId="1" applyNumberFormat="1" applyFont="1" applyFill="1" applyBorder="1"/>
    <xf numFmtId="10" fontId="0" fillId="0" borderId="12" xfId="30" applyNumberFormat="1" applyFont="1" applyFill="1" applyBorder="1"/>
    <xf numFmtId="173" fontId="0" fillId="0" borderId="12" xfId="1" applyNumberFormat="1" applyFont="1" applyFill="1" applyBorder="1" applyAlignment="1">
      <alignment horizontal="left" indent="1"/>
    </xf>
    <xf numFmtId="172" fontId="0" fillId="0" borderId="12" xfId="80" applyNumberFormat="1" applyFont="1" applyFill="1" applyBorder="1" applyAlignment="1">
      <alignment horizontal="left" indent="1"/>
    </xf>
    <xf numFmtId="0" fontId="27" fillId="0" borderId="0" xfId="32" applyAlignment="1">
      <alignment horizontal="left" vertical="center" indent="1"/>
    </xf>
    <xf numFmtId="5" fontId="46" fillId="0" borderId="1" xfId="2" applyNumberFormat="1" applyFont="1" applyFill="1" applyBorder="1" applyAlignment="1" applyProtection="1">
      <alignment horizontal="left" indent="3"/>
    </xf>
    <xf numFmtId="0" fontId="0" fillId="0" borderId="0" xfId="0" applyFont="1" applyAlignment="1">
      <alignment horizontal="left" indent="2"/>
    </xf>
    <xf numFmtId="5" fontId="8" fillId="0" borderId="0" xfId="2" applyNumberFormat="1" applyFont="1" applyFill="1" applyBorder="1" applyAlignment="1" applyProtection="1">
      <alignment horizontal="left" indent="3"/>
    </xf>
    <xf numFmtId="0" fontId="27" fillId="0" borderId="0" xfId="32" applyAlignment="1" applyProtection="1">
      <alignment horizontal="left" vertical="center" indent="1"/>
    </xf>
    <xf numFmtId="9" fontId="0" fillId="0" borderId="0" xfId="31" applyFont="1" applyProtection="1"/>
    <xf numFmtId="0" fontId="0" fillId="0" borderId="0" xfId="0" applyProtection="1"/>
    <xf numFmtId="0" fontId="0" fillId="0" borderId="0" xfId="0" applyFont="1" applyBorder="1" applyAlignment="1" applyProtection="1">
      <alignment horizontal="left" indent="2"/>
    </xf>
    <xf numFmtId="9" fontId="0" fillId="0" borderId="0" xfId="31" applyFont="1" applyBorder="1" applyProtection="1"/>
    <xf numFmtId="0" fontId="0" fillId="0" borderId="0" xfId="0" applyBorder="1" applyProtection="1"/>
    <xf numFmtId="0" fontId="0" fillId="0" borderId="0" xfId="0" applyFill="1" applyProtection="1"/>
    <xf numFmtId="9" fontId="23" fillId="0" borderId="0" xfId="31" applyFont="1" applyFill="1" applyBorder="1" applyAlignment="1" applyProtection="1">
      <alignment horizontal="center"/>
    </xf>
    <xf numFmtId="0" fontId="48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left"/>
    </xf>
    <xf numFmtId="9" fontId="8" fillId="0" borderId="0" xfId="3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/>
    </xf>
    <xf numFmtId="0" fontId="46" fillId="0" borderId="1" xfId="0" applyFont="1" applyFill="1" applyBorder="1" applyAlignment="1" applyProtection="1">
      <alignment horizontal="left" indent="3"/>
    </xf>
    <xf numFmtId="9" fontId="0" fillId="0" borderId="0" xfId="31" applyFont="1" applyFill="1" applyAlignment="1" applyProtection="1">
      <alignment horizontal="center"/>
    </xf>
    <xf numFmtId="172" fontId="24" fillId="0" borderId="12" xfId="29" applyNumberFormat="1" applyFont="1" applyFill="1" applyBorder="1" applyAlignment="1" applyProtection="1"/>
    <xf numFmtId="172" fontId="24" fillId="0" borderId="12" xfId="0" applyNumberFormat="1" applyFont="1" applyFill="1" applyBorder="1" applyAlignment="1" applyProtection="1"/>
    <xf numFmtId="174" fontId="24" fillId="0" borderId="0" xfId="31" applyNumberFormat="1" applyFont="1" applyFill="1" applyBorder="1" applyAlignment="1" applyProtection="1">
      <alignment horizontal="center"/>
    </xf>
    <xf numFmtId="9" fontId="24" fillId="0" borderId="0" xfId="31" applyNumberFormat="1" applyFont="1" applyFill="1" applyBorder="1" applyAlignment="1" applyProtection="1">
      <alignment horizontal="center"/>
    </xf>
    <xf numFmtId="172" fontId="24" fillId="0" borderId="0" xfId="29" applyNumberFormat="1" applyFont="1" applyFill="1" applyBorder="1" applyAlignment="1" applyProtection="1"/>
    <xf numFmtId="0" fontId="24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left"/>
    </xf>
    <xf numFmtId="0" fontId="25" fillId="0" borderId="1" xfId="0" applyFont="1" applyFill="1" applyBorder="1" applyAlignment="1" applyProtection="1">
      <alignment horizontal="left"/>
    </xf>
    <xf numFmtId="9" fontId="24" fillId="0" borderId="0" xfId="31" applyFont="1" applyFill="1" applyBorder="1" applyAlignment="1" applyProtection="1"/>
    <xf numFmtId="172" fontId="0" fillId="0" borderId="0" xfId="0" applyNumberFormat="1" applyFill="1" applyProtection="1"/>
    <xf numFmtId="172" fontId="0" fillId="2" borderId="12" xfId="29" applyNumberFormat="1" applyFont="1" applyFill="1" applyBorder="1" applyProtection="1">
      <protection locked="0"/>
    </xf>
    <xf numFmtId="9" fontId="0" fillId="2" borderId="12" xfId="30" applyFont="1" applyFill="1" applyBorder="1" applyProtection="1">
      <protection locked="0"/>
    </xf>
    <xf numFmtId="173" fontId="0" fillId="2" borderId="12" xfId="1" applyNumberFormat="1" applyFont="1" applyFill="1" applyBorder="1" applyProtection="1">
      <protection locked="0"/>
    </xf>
    <xf numFmtId="172" fontId="3" fillId="2" borderId="0" xfId="80" applyNumberFormat="1" applyFont="1" applyFill="1" applyBorder="1" applyProtection="1">
      <protection locked="0"/>
    </xf>
    <xf numFmtId="173" fontId="0" fillId="2" borderId="0" xfId="1" applyNumberFormat="1" applyFont="1" applyFill="1" applyProtection="1">
      <protection locked="0"/>
    </xf>
    <xf numFmtId="173" fontId="3" fillId="2" borderId="0" xfId="1" applyNumberFormat="1" applyFont="1" applyFill="1" applyProtection="1">
      <protection locked="0"/>
    </xf>
    <xf numFmtId="172" fontId="3" fillId="2" borderId="0" xfId="80" applyNumberFormat="1" applyFont="1" applyFill="1" applyBorder="1" applyAlignment="1" applyProtection="1">
      <alignment horizontal="left"/>
      <protection locked="0"/>
    </xf>
    <xf numFmtId="173" fontId="10" fillId="2" borderId="0" xfId="1" applyNumberFormat="1" applyFont="1" applyFill="1" applyBorder="1" applyAlignment="1" applyProtection="1">
      <alignment vertical="top"/>
      <protection locked="0"/>
    </xf>
    <xf numFmtId="173" fontId="8" fillId="2" borderId="0" xfId="1" applyNumberFormat="1" applyFont="1" applyFill="1" applyProtection="1">
      <protection locked="0"/>
    </xf>
    <xf numFmtId="9" fontId="0" fillId="2" borderId="0" xfId="31" applyFont="1" applyFill="1" applyProtection="1">
      <protection locked="0"/>
    </xf>
  </cellXfs>
  <cellStyles count="104">
    <cellStyle name="20% - Accent1" xfId="49" builtinId="30" customBuiltin="1"/>
    <cellStyle name="20% - Accent1 2" xfId="81"/>
    <cellStyle name="20% - Accent2" xfId="53" builtinId="34" customBuiltin="1"/>
    <cellStyle name="20% - Accent2 2" xfId="83"/>
    <cellStyle name="20% - Accent3" xfId="57" builtinId="38" customBuiltin="1"/>
    <cellStyle name="20% - Accent3 2" xfId="85"/>
    <cellStyle name="20% - Accent4" xfId="61" builtinId="42" customBuiltin="1"/>
    <cellStyle name="20% - Accent4 2" xfId="87"/>
    <cellStyle name="20% - Accent5" xfId="65" builtinId="46" customBuiltin="1"/>
    <cellStyle name="20% - Accent5 2" xfId="89"/>
    <cellStyle name="20% - Accent6" xfId="69" builtinId="50" customBuiltin="1"/>
    <cellStyle name="20% - Accent6 2" xfId="91"/>
    <cellStyle name="40% - Accent1" xfId="50" builtinId="31" customBuiltin="1"/>
    <cellStyle name="40% - Accent1 2" xfId="82"/>
    <cellStyle name="40% - Accent2" xfId="54" builtinId="35" customBuiltin="1"/>
    <cellStyle name="40% - Accent2 2" xfId="84"/>
    <cellStyle name="40% - Accent3" xfId="58" builtinId="39" customBuiltin="1"/>
    <cellStyle name="40% - Accent3 2" xfId="86"/>
    <cellStyle name="40% - Accent4" xfId="62" builtinId="43" customBuiltin="1"/>
    <cellStyle name="40% - Accent4 2" xfId="88"/>
    <cellStyle name="40% - Accent5" xfId="66" builtinId="47" customBuiltin="1"/>
    <cellStyle name="40% - Accent5 2" xfId="90"/>
    <cellStyle name="40% - Accent6" xfId="70" builtinId="51" customBuiltin="1"/>
    <cellStyle name="40% - Accent6 2" xfId="92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8" builtinId="27" customBuiltin="1"/>
    <cellStyle name="Calculation" xfId="42" builtinId="22" customBuiltin="1"/>
    <cellStyle name="Center Across Columns" xfId="3"/>
    <cellStyle name="Center Heading across cells" xfId="4"/>
    <cellStyle name="Check Cell" xfId="44" builtinId="23" customBuiltin="1"/>
    <cellStyle name="Column Heading" xfId="5"/>
    <cellStyle name="Column Heading (across cells)" xfId="6"/>
    <cellStyle name="ColumnTop" xfId="7"/>
    <cellStyle name="Comma" xfId="1" builtinId="3"/>
    <cellStyle name="Comma [1]" xfId="8"/>
    <cellStyle name="Comma 2" xfId="73"/>
    <cellStyle name="Comma 2 2" xfId="94"/>
    <cellStyle name="Comma 3" xfId="78"/>
    <cellStyle name="Comma 3 2" xfId="99"/>
    <cellStyle name="Comma 4" xfId="79"/>
    <cellStyle name="Comma 4 2" xfId="100"/>
    <cellStyle name="Currency" xfId="80" builtinId="4"/>
    <cellStyle name="Currency [1]" xfId="9"/>
    <cellStyle name="Currency 2" xfId="29"/>
    <cellStyle name="Date" xfId="10"/>
    <cellStyle name="DoubleOnly" xfId="11"/>
    <cellStyle name="Explanatory Text" xfId="46" builtinId="53" customBuiltin="1"/>
    <cellStyle name="General" xfId="12"/>
    <cellStyle name="Good" xfId="37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40" builtinId="20" customBuiltin="1"/>
    <cellStyle name="Level 1 (Normal)" xfId="13"/>
    <cellStyle name="Linked Cell" xfId="43" builtinId="24" customBuiltin="1"/>
    <cellStyle name="Neutral" xfId="39" builtinId="28" customBuiltin="1"/>
    <cellStyle name="Normal" xfId="0" builtinId="0"/>
    <cellStyle name="Normal 2" xfId="72"/>
    <cellStyle name="Normal 2 2" xfId="93"/>
    <cellStyle name="Normal 2 3" xfId="103"/>
    <cellStyle name="Normal 3" xfId="101"/>
    <cellStyle name="Normal_Firm Budget" xfId="2"/>
    <cellStyle name="Note 2" xfId="77"/>
    <cellStyle name="Note 2 2" xfId="98"/>
    <cellStyle name="Notes#Total" xfId="14"/>
    <cellStyle name="numbers $ (no lines)" xfId="15"/>
    <cellStyle name="numbers $ double line" xfId="16"/>
    <cellStyle name="numbers only" xfId="17"/>
    <cellStyle name="numbers single line" xfId="18"/>
    <cellStyle name="Output" xfId="41" builtinId="21" customBuiltin="1"/>
    <cellStyle name="Percent" xfId="31" builtinId="5"/>
    <cellStyle name="Percent [0]" xfId="19"/>
    <cellStyle name="Percent [1]" xfId="20"/>
    <cellStyle name="Percent 2" xfId="30"/>
    <cellStyle name="Percent 3" xfId="74"/>
    <cellStyle name="Percent 3 2" xfId="95"/>
    <cellStyle name="Percent 4" xfId="75"/>
    <cellStyle name="Percent 4 2" xfId="96"/>
    <cellStyle name="Percent 5" xfId="76"/>
    <cellStyle name="Percent 5 2" xfId="97"/>
    <cellStyle name="Text Column (2 indents)" xfId="21"/>
    <cellStyle name="Text Column (4 indents)" xfId="22"/>
    <cellStyle name="Text Column (6 indents)" xfId="23"/>
    <cellStyle name="Text Column (8 indents)" xfId="24"/>
    <cellStyle name="Text Column (No indent)" xfId="25"/>
    <cellStyle name="Text Column (No indent)Bold" xfId="26"/>
    <cellStyle name="Text Column (Total)" xfId="27"/>
    <cellStyle name="Title" xfId="32" builtinId="15" customBuiltin="1"/>
    <cellStyle name="Title 2" xfId="102"/>
    <cellStyle name="Total" xfId="47" builtinId="25" customBuiltin="1"/>
    <cellStyle name="Underline_Dbl" xfId="28"/>
    <cellStyle name="Warning Text" xfId="45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5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'Summary-Quick Budget'!$A$9:$A$14</c:f>
              <c:strCache>
                <c:ptCount val="6"/>
                <c:pt idx="0">
                  <c:v>Staff and Personnel</c:v>
                </c:pt>
                <c:pt idx="1">
                  <c:v>Current Year Depreciation</c:v>
                </c:pt>
                <c:pt idx="2">
                  <c:v>Hardware and Equipment</c:v>
                </c:pt>
                <c:pt idx="3">
                  <c:v>Software</c:v>
                </c:pt>
                <c:pt idx="4">
                  <c:v>Communications</c:v>
                </c:pt>
                <c:pt idx="5">
                  <c:v>Contingency</c:v>
                </c:pt>
              </c:strCache>
            </c:strRef>
          </c:cat>
          <c:val>
            <c:numRef>
              <c:f>'Summary-Quick Budget'!$B$9:$B$14</c:f>
              <c:numCache>
                <c:formatCode>0%</c:formatCode>
                <c:ptCount val="6"/>
                <c:pt idx="0">
                  <c:v>0.255</c:v>
                </c:pt>
                <c:pt idx="1">
                  <c:v>0.13300000000000001</c:v>
                </c:pt>
                <c:pt idx="2">
                  <c:v>0.161</c:v>
                </c:pt>
                <c:pt idx="3">
                  <c:v>0.29499999999999998</c:v>
                </c:pt>
                <c:pt idx="4">
                  <c:v>0.156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17</xdr:row>
      <xdr:rowOff>142875</xdr:rowOff>
    </xdr:from>
    <xdr:to>
      <xdr:col>5</xdr:col>
      <xdr:colOff>701040</xdr:colOff>
      <xdr:row>34</xdr:row>
      <xdr:rowOff>41910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9"/>
  <sheetViews>
    <sheetView showGridLines="0" showRowColHeaders="0" tabSelected="1" workbookViewId="0">
      <selection activeCell="B6" sqref="B6"/>
    </sheetView>
  </sheetViews>
  <sheetFormatPr defaultRowHeight="12.75"/>
  <cols>
    <col min="1" max="1" width="42.28515625" customWidth="1"/>
    <col min="2" max="2" width="19" customWidth="1"/>
    <col min="3" max="3" width="14.7109375" customWidth="1"/>
    <col min="4" max="4" width="15" bestFit="1" customWidth="1"/>
  </cols>
  <sheetData>
    <row r="1" spans="1:4" ht="28.5" customHeight="1">
      <c r="A1" s="99" t="s">
        <v>158</v>
      </c>
    </row>
    <row r="2" spans="1:4">
      <c r="A2" s="101" t="s">
        <v>159</v>
      </c>
    </row>
    <row r="4" spans="1:4" ht="15">
      <c r="A4" s="88" t="s">
        <v>161</v>
      </c>
    </row>
    <row r="5" spans="1:4">
      <c r="A5" s="89"/>
      <c r="B5" s="90" t="s">
        <v>104</v>
      </c>
      <c r="C5" s="90" t="s">
        <v>105</v>
      </c>
      <c r="D5" s="90" t="s">
        <v>106</v>
      </c>
    </row>
    <row r="6" spans="1:4">
      <c r="A6" s="91" t="s">
        <v>107</v>
      </c>
      <c r="B6" s="128">
        <v>10000000</v>
      </c>
      <c r="C6" s="92">
        <f>B6+B6*$B$7</f>
        <v>10700000</v>
      </c>
      <c r="D6" s="93">
        <f>C6+C6*$B$7</f>
        <v>11449000</v>
      </c>
    </row>
    <row r="7" spans="1:4">
      <c r="A7" s="91" t="s">
        <v>108</v>
      </c>
      <c r="B7" s="129">
        <v>7.0000000000000007E-2</v>
      </c>
      <c r="C7" s="94"/>
      <c r="D7" s="94"/>
    </row>
    <row r="8" spans="1:4">
      <c r="A8" s="91" t="s">
        <v>109</v>
      </c>
      <c r="B8" s="129">
        <v>0.03</v>
      </c>
      <c r="C8" s="94"/>
      <c r="D8" s="94"/>
    </row>
    <row r="9" spans="1:4">
      <c r="A9" s="91" t="s">
        <v>110</v>
      </c>
      <c r="B9" s="130">
        <v>138000</v>
      </c>
      <c r="C9" s="95">
        <f>C6/C13*2080</f>
        <v>142611.26213592233</v>
      </c>
      <c r="D9" s="95">
        <f>D6/D13*2080</f>
        <v>148149.56357809406</v>
      </c>
    </row>
    <row r="10" spans="1:4">
      <c r="A10" s="91" t="s">
        <v>111</v>
      </c>
      <c r="B10" s="130">
        <v>66150</v>
      </c>
      <c r="C10" s="95">
        <f>($B$10/$B$9)*C9</f>
        <v>68360.39848037147</v>
      </c>
      <c r="D10" s="95">
        <f>($B$10/$B$9)*D9</f>
        <v>71015.171236890747</v>
      </c>
    </row>
    <row r="11" spans="1:4">
      <c r="A11" s="91" t="s">
        <v>112</v>
      </c>
      <c r="B11" s="96">
        <f>B10/B9</f>
        <v>0.47934782608695653</v>
      </c>
      <c r="C11" s="96">
        <f>C10/C9</f>
        <v>0.47934782608695659</v>
      </c>
      <c r="D11" s="96">
        <f>D10/D9</f>
        <v>0.47934782608695653</v>
      </c>
    </row>
    <row r="12" spans="1:4">
      <c r="A12" s="91" t="s">
        <v>113</v>
      </c>
      <c r="B12" s="97">
        <f>ROUND(B9/2080,0)</f>
        <v>66</v>
      </c>
      <c r="C12" s="97">
        <f>ROUND(C6/C13,0)</f>
        <v>69</v>
      </c>
      <c r="D12" s="97">
        <f>ROUND(D6/D13,0)</f>
        <v>71</v>
      </c>
    </row>
    <row r="13" spans="1:4">
      <c r="A13" s="91" t="s">
        <v>114</v>
      </c>
      <c r="B13" s="98">
        <f>B6/B12</f>
        <v>151515.15151515152</v>
      </c>
      <c r="C13" s="98">
        <f>B13*$B$8+B13</f>
        <v>156060.60606060608</v>
      </c>
      <c r="D13" s="98">
        <f>C13*$B$8+C13</f>
        <v>160742.42424242425</v>
      </c>
    </row>
    <row r="14" spans="1:4">
      <c r="A14" s="91" t="s">
        <v>155</v>
      </c>
      <c r="B14" s="98">
        <f>B6/B10</f>
        <v>151.17157974300832</v>
      </c>
      <c r="C14" s="98">
        <f t="shared" ref="C14:D14" si="0">C6/C10</f>
        <v>156.52337080908509</v>
      </c>
      <c r="D14" s="98">
        <f t="shared" si="0"/>
        <v>161.21907193335764</v>
      </c>
    </row>
    <row r="15" spans="1:4" s="9" customFormat="1">
      <c r="A15" s="89"/>
    </row>
    <row r="16" spans="1:4" s="9" customFormat="1"/>
    <row r="17" spans="1:3" s="9" customFormat="1"/>
    <row r="18" spans="1:3" s="9" customFormat="1">
      <c r="A18" s="20"/>
    </row>
    <row r="19" spans="1:3" s="9" customFormat="1">
      <c r="A19" s="20"/>
    </row>
    <row r="20" spans="1:3" s="9" customFormat="1"/>
    <row r="21" spans="1:3" s="9" customFormat="1">
      <c r="B21" s="21"/>
      <c r="C21" s="21"/>
    </row>
    <row r="22" spans="1:3" s="9" customFormat="1">
      <c r="B22" s="21"/>
      <c r="C22" s="21"/>
    </row>
    <row r="23" spans="1:3" s="9" customFormat="1">
      <c r="B23" s="21"/>
      <c r="C23" s="21"/>
    </row>
    <row r="24" spans="1:3" s="9" customFormat="1"/>
    <row r="25" spans="1:3" s="9" customFormat="1"/>
    <row r="26" spans="1:3" s="9" customFormat="1">
      <c r="B26" s="21"/>
      <c r="C26" s="21"/>
    </row>
    <row r="27" spans="1:3" s="9" customFormat="1"/>
    <row r="28" spans="1:3" s="9" customFormat="1"/>
    <row r="29" spans="1:3" s="9" customFormat="1"/>
    <row r="30" spans="1:3" s="9" customFormat="1"/>
    <row r="31" spans="1:3" s="9" customFormat="1">
      <c r="B31" s="21"/>
      <c r="C31" s="21"/>
    </row>
    <row r="32" spans="1:3" s="9" customFormat="1">
      <c r="B32" s="21"/>
      <c r="C32" s="21"/>
    </row>
    <row r="33" spans="2:3" s="9" customFormat="1">
      <c r="B33" s="21"/>
      <c r="C33" s="21"/>
    </row>
    <row r="34" spans="2:3" s="9" customFormat="1">
      <c r="B34" s="21"/>
      <c r="C34" s="21"/>
    </row>
    <row r="35" spans="2:3" s="9" customFormat="1">
      <c r="B35" s="21"/>
      <c r="C35" s="21"/>
    </row>
    <row r="36" spans="2:3" s="9" customFormat="1">
      <c r="B36" s="21"/>
      <c r="C36" s="21"/>
    </row>
    <row r="37" spans="2:3" s="9" customFormat="1">
      <c r="B37" s="21"/>
      <c r="C37" s="21"/>
    </row>
    <row r="38" spans="2:3" s="9" customFormat="1"/>
    <row r="39" spans="2:3" s="9" customFormat="1"/>
    <row r="40" spans="2:3" s="9" customFormat="1">
      <c r="B40" s="21"/>
      <c r="C40" s="21"/>
    </row>
    <row r="41" spans="2:3" s="9" customFormat="1"/>
    <row r="42" spans="2:3" s="9" customFormat="1">
      <c r="B42" s="21"/>
      <c r="C42" s="21"/>
    </row>
    <row r="43" spans="2:3" s="9" customFormat="1"/>
    <row r="44" spans="2:3" s="9" customFormat="1">
      <c r="B44" s="21"/>
      <c r="C44" s="21"/>
    </row>
    <row r="45" spans="2:3" s="9" customFormat="1"/>
    <row r="46" spans="2:3" s="9" customFormat="1"/>
    <row r="47" spans="2:3" s="9" customFormat="1"/>
    <row r="48" spans="2:3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</sheetData>
  <sheetProtection sheet="1" objects="1" scenarios="1" selectLockedCells="1"/>
  <pageMargins left="0.75" right="0.75" top="1" bottom="1" header="0.5" footer="0.5"/>
  <pageSetup scale="83" orientation="landscape" r:id="rId1"/>
  <headerFooter alignWithMargins="0">
    <oddFooter>&amp;LCopyright 2003, Boomer Consulting, Inc.&amp;RPage&amp;P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showRowColHeaders="0" workbookViewId="0">
      <selection sqref="A1:F35"/>
    </sheetView>
  </sheetViews>
  <sheetFormatPr defaultRowHeight="12.75"/>
  <cols>
    <col min="1" max="1" width="28.85546875" customWidth="1"/>
    <col min="2" max="2" width="6.28515625" style="19" bestFit="1" customWidth="1"/>
    <col min="3" max="6" width="12.42578125" bestFit="1" customWidth="1"/>
  </cols>
  <sheetData>
    <row r="1" spans="1:6" ht="22.5">
      <c r="A1" s="103" t="s">
        <v>158</v>
      </c>
      <c r="B1" s="104"/>
      <c r="C1" s="105"/>
      <c r="D1" s="105"/>
      <c r="E1" s="105"/>
      <c r="F1" s="105"/>
    </row>
    <row r="2" spans="1:6" s="86" customFormat="1">
      <c r="A2" s="106" t="s">
        <v>159</v>
      </c>
      <c r="B2" s="107"/>
      <c r="C2" s="108"/>
      <c r="D2" s="108"/>
      <c r="E2" s="108"/>
      <c r="F2" s="108"/>
    </row>
    <row r="3" spans="1:6" s="86" customFormat="1" ht="15.75">
      <c r="A3" s="87"/>
      <c r="B3" s="107"/>
      <c r="C3" s="108"/>
      <c r="D3" s="108"/>
      <c r="E3" s="108"/>
      <c r="F3" s="108"/>
    </row>
    <row r="4" spans="1:6">
      <c r="A4" s="109"/>
      <c r="B4" s="110"/>
      <c r="C4" s="111" t="s">
        <v>115</v>
      </c>
      <c r="D4" s="111"/>
      <c r="E4" s="111"/>
      <c r="F4" s="112"/>
    </row>
    <row r="5" spans="1:6" ht="15">
      <c r="A5" s="113"/>
      <c r="B5" s="114" t="s">
        <v>160</v>
      </c>
      <c r="C5" s="115" t="s">
        <v>104</v>
      </c>
      <c r="D5" s="115" t="s">
        <v>105</v>
      </c>
      <c r="E5" s="115" t="s">
        <v>106</v>
      </c>
      <c r="F5" s="112"/>
    </row>
    <row r="6" spans="1:6">
      <c r="A6" s="116" t="s">
        <v>116</v>
      </c>
      <c r="B6" s="117"/>
      <c r="C6" s="118">
        <f>'Financial Metrics'!B6</f>
        <v>10000000</v>
      </c>
      <c r="D6" s="118">
        <f>'Financial Metrics'!C6</f>
        <v>10700000</v>
      </c>
      <c r="E6" s="118">
        <f>'Financial Metrics'!D6</f>
        <v>11449000</v>
      </c>
      <c r="F6" s="119">
        <f>SUM(C6:E6)</f>
        <v>32149000</v>
      </c>
    </row>
    <row r="7" spans="1:6">
      <c r="A7" s="116" t="s">
        <v>117</v>
      </c>
      <c r="B7" s="120">
        <v>6.5000000000000002E-2</v>
      </c>
      <c r="C7" s="118">
        <f>C6*$B7</f>
        <v>650000</v>
      </c>
      <c r="D7" s="118">
        <f t="shared" ref="D7:E7" si="0">D6*$B7</f>
        <v>695500</v>
      </c>
      <c r="E7" s="118">
        <f t="shared" si="0"/>
        <v>744185</v>
      </c>
      <c r="F7" s="119">
        <f>SUM(C7:E7)</f>
        <v>2089685</v>
      </c>
    </row>
    <row r="8" spans="1:6">
      <c r="A8" s="116"/>
      <c r="B8" s="121"/>
      <c r="C8" s="122"/>
      <c r="D8" s="122"/>
      <c r="E8" s="122"/>
      <c r="F8" s="123"/>
    </row>
    <row r="9" spans="1:6">
      <c r="A9" s="100" t="s">
        <v>120</v>
      </c>
      <c r="B9" s="121">
        <v>0.255</v>
      </c>
      <c r="C9" s="118">
        <f>$C$7*B9</f>
        <v>165750</v>
      </c>
      <c r="D9" s="118">
        <f>$D$7*B9</f>
        <v>177352.5</v>
      </c>
      <c r="E9" s="118">
        <f>$E$7*B9</f>
        <v>189767.17500000002</v>
      </c>
      <c r="F9" s="118">
        <f>SUM(C9:E9)</f>
        <v>532869.67500000005</v>
      </c>
    </row>
    <row r="10" spans="1:6">
      <c r="A10" s="100" t="s">
        <v>123</v>
      </c>
      <c r="B10" s="121">
        <v>0.13300000000000001</v>
      </c>
      <c r="C10" s="118">
        <f t="shared" ref="C10:C14" si="1">$C$7*B10</f>
        <v>86450</v>
      </c>
      <c r="D10" s="118">
        <f t="shared" ref="D10:D14" si="2">$D$7*B10</f>
        <v>92501.5</v>
      </c>
      <c r="E10" s="118">
        <f t="shared" ref="E10:E14" si="3">$E$7*B10</f>
        <v>98976.60500000001</v>
      </c>
      <c r="F10" s="118">
        <f t="shared" ref="F10:F14" si="4">SUM(C10:E10)</f>
        <v>277928.10499999998</v>
      </c>
    </row>
    <row r="11" spans="1:6">
      <c r="A11" s="100" t="s">
        <v>121</v>
      </c>
      <c r="B11" s="121">
        <v>0.161</v>
      </c>
      <c r="C11" s="118">
        <f t="shared" si="1"/>
        <v>104650</v>
      </c>
      <c r="D11" s="118">
        <f t="shared" si="2"/>
        <v>111975.5</v>
      </c>
      <c r="E11" s="118">
        <f t="shared" si="3"/>
        <v>119813.785</v>
      </c>
      <c r="F11" s="118">
        <f t="shared" si="4"/>
        <v>336439.28500000003</v>
      </c>
    </row>
    <row r="12" spans="1:6">
      <c r="A12" s="100" t="s">
        <v>118</v>
      </c>
      <c r="B12" s="121">
        <v>0.29499999999999998</v>
      </c>
      <c r="C12" s="118">
        <f t="shared" si="1"/>
        <v>191750</v>
      </c>
      <c r="D12" s="118">
        <f t="shared" si="2"/>
        <v>205172.5</v>
      </c>
      <c r="E12" s="118">
        <f t="shared" si="3"/>
        <v>219534.57499999998</v>
      </c>
      <c r="F12" s="118">
        <f t="shared" si="4"/>
        <v>616457.07499999995</v>
      </c>
    </row>
    <row r="13" spans="1:6">
      <c r="A13" s="100" t="s">
        <v>122</v>
      </c>
      <c r="B13" s="121">
        <v>0.156</v>
      </c>
      <c r="C13" s="118">
        <f t="shared" si="1"/>
        <v>101400</v>
      </c>
      <c r="D13" s="118">
        <f t="shared" si="2"/>
        <v>108498</v>
      </c>
      <c r="E13" s="118">
        <f t="shared" si="3"/>
        <v>116092.86</v>
      </c>
      <c r="F13" s="118">
        <f t="shared" si="4"/>
        <v>325990.86</v>
      </c>
    </row>
    <row r="14" spans="1:6">
      <c r="A14" s="100" t="s">
        <v>119</v>
      </c>
      <c r="B14" s="120"/>
      <c r="C14" s="118">
        <f t="shared" si="1"/>
        <v>0</v>
      </c>
      <c r="D14" s="118">
        <f t="shared" si="2"/>
        <v>0</v>
      </c>
      <c r="E14" s="118">
        <f t="shared" si="3"/>
        <v>0</v>
      </c>
      <c r="F14" s="118">
        <f t="shared" si="4"/>
        <v>0</v>
      </c>
    </row>
    <row r="15" spans="1:6">
      <c r="A15" s="124"/>
      <c r="B15" s="124"/>
      <c r="C15" s="122"/>
      <c r="D15" s="122"/>
      <c r="E15" s="122"/>
      <c r="F15" s="123"/>
    </row>
    <row r="16" spans="1:6">
      <c r="A16" s="125"/>
      <c r="B16" s="126">
        <f>SUM(B9:B14)</f>
        <v>1</v>
      </c>
      <c r="C16" s="127">
        <f>SUM(C9:C15)</f>
        <v>650000</v>
      </c>
      <c r="D16" s="127">
        <f t="shared" ref="D16:F16" si="5">SUM(D9:D15)</f>
        <v>695500</v>
      </c>
      <c r="E16" s="127">
        <f t="shared" si="5"/>
        <v>744185</v>
      </c>
      <c r="F16" s="127">
        <f t="shared" si="5"/>
        <v>2089685</v>
      </c>
    </row>
    <row r="17" spans="1:6">
      <c r="A17" s="102" t="s">
        <v>162</v>
      </c>
      <c r="B17" s="104"/>
      <c r="C17" s="127"/>
      <c r="D17" s="127"/>
      <c r="E17" s="127"/>
      <c r="F17" s="127"/>
    </row>
    <row r="18" spans="1:6">
      <c r="A18" s="105"/>
      <c r="B18" s="104"/>
      <c r="C18" s="105"/>
      <c r="D18" s="105"/>
      <c r="E18" s="105"/>
      <c r="F18" s="105"/>
    </row>
    <row r="19" spans="1:6">
      <c r="A19" s="105"/>
      <c r="B19" s="104"/>
      <c r="C19" s="105"/>
      <c r="D19" s="105"/>
      <c r="E19" s="105"/>
      <c r="F19" s="105"/>
    </row>
    <row r="20" spans="1:6">
      <c r="A20" s="105"/>
      <c r="B20" s="104"/>
      <c r="C20" s="105"/>
      <c r="D20" s="105"/>
      <c r="E20" s="105"/>
      <c r="F20" s="105"/>
    </row>
    <row r="21" spans="1:6">
      <c r="A21" s="105"/>
      <c r="B21" s="104"/>
      <c r="C21" s="105"/>
      <c r="D21" s="105"/>
      <c r="E21" s="105"/>
      <c r="F21" s="105"/>
    </row>
    <row r="22" spans="1:6">
      <c r="A22" s="105"/>
      <c r="B22" s="104"/>
      <c r="C22" s="105"/>
      <c r="D22" s="105"/>
      <c r="E22" s="105"/>
      <c r="F22" s="105"/>
    </row>
    <row r="23" spans="1:6">
      <c r="A23" s="105"/>
      <c r="B23" s="104"/>
      <c r="C23" s="105"/>
      <c r="D23" s="105"/>
      <c r="E23" s="105"/>
      <c r="F23" s="105"/>
    </row>
    <row r="24" spans="1:6">
      <c r="A24" s="105"/>
      <c r="B24" s="104"/>
      <c r="C24" s="105"/>
      <c r="D24" s="105"/>
      <c r="E24" s="105"/>
      <c r="F24" s="105"/>
    </row>
    <row r="25" spans="1:6">
      <c r="A25" s="105"/>
      <c r="B25" s="104"/>
      <c r="C25" s="105"/>
      <c r="D25" s="105"/>
      <c r="E25" s="105"/>
      <c r="F25" s="105"/>
    </row>
    <row r="26" spans="1:6">
      <c r="A26" s="105"/>
      <c r="B26" s="104"/>
      <c r="C26" s="105"/>
      <c r="D26" s="105"/>
      <c r="E26" s="105"/>
      <c r="F26" s="105"/>
    </row>
    <row r="27" spans="1:6">
      <c r="A27" s="105"/>
      <c r="B27" s="104"/>
      <c r="C27" s="105"/>
      <c r="D27" s="105"/>
      <c r="E27" s="105"/>
      <c r="F27" s="105"/>
    </row>
    <row r="28" spans="1:6">
      <c r="A28" s="105"/>
      <c r="B28" s="104"/>
      <c r="C28" s="105"/>
      <c r="D28" s="105"/>
      <c r="E28" s="105"/>
      <c r="F28" s="105"/>
    </row>
    <row r="29" spans="1:6">
      <c r="A29" s="105"/>
      <c r="B29" s="104"/>
      <c r="C29" s="105"/>
      <c r="D29" s="105"/>
      <c r="E29" s="105"/>
      <c r="F29" s="105"/>
    </row>
    <row r="30" spans="1:6">
      <c r="A30" s="105"/>
      <c r="B30" s="104"/>
      <c r="C30" s="105"/>
      <c r="D30" s="105"/>
      <c r="E30" s="105"/>
      <c r="F30" s="105"/>
    </row>
    <row r="31" spans="1:6">
      <c r="A31" s="105"/>
      <c r="B31" s="104"/>
      <c r="C31" s="105"/>
      <c r="D31" s="105"/>
      <c r="E31" s="105"/>
      <c r="F31" s="105"/>
    </row>
    <row r="32" spans="1:6">
      <c r="A32" s="105"/>
      <c r="B32" s="104"/>
      <c r="C32" s="105"/>
      <c r="D32" s="105"/>
      <c r="E32" s="105"/>
      <c r="F32" s="105"/>
    </row>
    <row r="33" spans="1:6">
      <c r="A33" s="105"/>
      <c r="B33" s="104"/>
      <c r="C33" s="105"/>
      <c r="D33" s="105"/>
      <c r="E33" s="105"/>
      <c r="F33" s="105"/>
    </row>
    <row r="34" spans="1:6">
      <c r="A34" s="105"/>
      <c r="B34" s="104"/>
      <c r="C34" s="105"/>
      <c r="D34" s="105"/>
      <c r="E34" s="105"/>
      <c r="F34" s="105"/>
    </row>
    <row r="35" spans="1:6">
      <c r="A35" s="105"/>
      <c r="B35" s="104"/>
      <c r="C35" s="105"/>
      <c r="D35" s="105"/>
      <c r="E35" s="105"/>
      <c r="F35" s="105"/>
    </row>
  </sheetData>
  <sheetProtection sheet="1" objects="1" scenarios="1" selectLockedCells="1" selectUnlockedCells="1"/>
  <mergeCells count="1">
    <mergeCell ref="C4:E4"/>
  </mergeCells>
  <pageMargins left="0.75" right="0.75" top="1" bottom="1" header="0.5" footer="0.5"/>
  <pageSetup orientation="landscape" r:id="rId1"/>
  <headerFooter alignWithMargins="0">
    <oddFooter>&amp;LCopyright 2003, Boomer Consulting, Inc&amp;R 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4"/>
  <sheetViews>
    <sheetView showGridLines="0" showRowColHeaders="0" workbookViewId="0">
      <pane ySplit="5" topLeftCell="A6" activePane="bottomLeft" state="frozen"/>
      <selection pane="bottomLeft" activeCell="B8" sqref="B8"/>
    </sheetView>
  </sheetViews>
  <sheetFormatPr defaultRowHeight="12.75"/>
  <cols>
    <col min="1" max="1" width="54.28515625" customWidth="1"/>
    <col min="2" max="2" width="10.42578125" style="18" bestFit="1" customWidth="1"/>
    <col min="3" max="3" width="9" style="18" bestFit="1" customWidth="1"/>
    <col min="4" max="4" width="15.28515625" style="18" bestFit="1" customWidth="1"/>
    <col min="5" max="5" width="8.85546875" style="18"/>
    <col min="6" max="6" width="11.42578125" style="18" bestFit="1" customWidth="1"/>
    <col min="7" max="7" width="8.85546875" style="18"/>
    <col min="8" max="8" width="11.42578125" style="18" bestFit="1" customWidth="1"/>
    <col min="9" max="9" width="8.85546875" style="18"/>
    <col min="10" max="10" width="11.42578125" style="18" bestFit="1" customWidth="1"/>
    <col min="11" max="11" width="14.140625" bestFit="1" customWidth="1"/>
  </cols>
  <sheetData>
    <row r="1" spans="1:11" ht="22.5">
      <c r="A1" s="99" t="s">
        <v>158</v>
      </c>
      <c r="D1" s="17"/>
      <c r="E1" s="22"/>
      <c r="F1" s="22"/>
      <c r="G1" s="22"/>
      <c r="H1" s="22"/>
      <c r="I1" s="22"/>
      <c r="J1" s="22"/>
      <c r="K1" s="23"/>
    </row>
    <row r="2" spans="1:11">
      <c r="A2" s="101" t="s">
        <v>159</v>
      </c>
      <c r="B2" s="27"/>
      <c r="D2" s="25"/>
      <c r="E2" s="22"/>
      <c r="F2" s="22"/>
      <c r="G2" s="22"/>
      <c r="H2" s="22"/>
      <c r="I2" s="22"/>
      <c r="J2" s="22"/>
      <c r="K2" s="23"/>
    </row>
    <row r="3" spans="1:11">
      <c r="E3" s="22"/>
      <c r="F3" s="22"/>
      <c r="G3" s="22"/>
      <c r="H3" s="22"/>
      <c r="I3" s="22"/>
      <c r="J3" s="22"/>
      <c r="K3" s="23"/>
    </row>
    <row r="4" spans="1:11" ht="15">
      <c r="A4" s="88" t="s">
        <v>161</v>
      </c>
      <c r="B4" s="28" t="s">
        <v>124</v>
      </c>
      <c r="C4" s="84" t="s">
        <v>104</v>
      </c>
      <c r="D4" s="84"/>
      <c r="E4" s="84" t="s">
        <v>105</v>
      </c>
      <c r="F4" s="84"/>
      <c r="G4" s="84" t="s">
        <v>106</v>
      </c>
      <c r="H4" s="84"/>
      <c r="I4" s="85" t="s">
        <v>125</v>
      </c>
      <c r="J4" s="85"/>
      <c r="K4" s="24" t="s">
        <v>126</v>
      </c>
    </row>
    <row r="5" spans="1:11">
      <c r="B5" s="50" t="s">
        <v>127</v>
      </c>
      <c r="C5" s="50" t="s">
        <v>128</v>
      </c>
      <c r="D5" s="50" t="s">
        <v>129</v>
      </c>
      <c r="E5" s="50" t="s">
        <v>128</v>
      </c>
      <c r="F5" s="27" t="s">
        <v>129</v>
      </c>
      <c r="G5" s="50" t="s">
        <v>128</v>
      </c>
      <c r="H5" s="27" t="s">
        <v>129</v>
      </c>
      <c r="I5" s="27" t="s">
        <v>128</v>
      </c>
      <c r="J5" s="27" t="s">
        <v>129</v>
      </c>
      <c r="K5" s="24" t="s">
        <v>130</v>
      </c>
    </row>
    <row r="6" spans="1:11">
      <c r="A6" s="5" t="s">
        <v>140</v>
      </c>
    </row>
    <row r="7" spans="1:11">
      <c r="A7" s="1" t="s">
        <v>0</v>
      </c>
    </row>
    <row r="8" spans="1:11">
      <c r="A8" s="2" t="s">
        <v>1</v>
      </c>
      <c r="B8" s="131">
        <v>94934.184284004776</v>
      </c>
      <c r="C8" s="132">
        <v>1</v>
      </c>
      <c r="D8" s="18">
        <f>B8*C8</f>
        <v>94934.184284004776</v>
      </c>
      <c r="E8" s="132"/>
      <c r="F8" s="18">
        <f>E8*B8</f>
        <v>0</v>
      </c>
      <c r="G8" s="132"/>
      <c r="H8" s="18">
        <f>G8*B8</f>
        <v>0</v>
      </c>
      <c r="J8" s="18">
        <f>D8+F8+H8</f>
        <v>94934.184284004776</v>
      </c>
      <c r="K8" s="36">
        <f>J8/3</f>
        <v>31644.728094668259</v>
      </c>
    </row>
    <row r="9" spans="1:11">
      <c r="A9" s="2" t="s">
        <v>2</v>
      </c>
      <c r="B9" s="131">
        <v>17562.824092540883</v>
      </c>
      <c r="C9" s="132">
        <v>1</v>
      </c>
      <c r="D9" s="18">
        <f t="shared" ref="D9:D12" si="0">B9*C9</f>
        <v>17562.824092540883</v>
      </c>
      <c r="E9" s="132"/>
      <c r="F9" s="18">
        <f t="shared" ref="F9:F12" si="1">E9*B9</f>
        <v>0</v>
      </c>
      <c r="G9" s="132"/>
      <c r="H9" s="18">
        <f t="shared" ref="H9:H12" si="2">G9*B9</f>
        <v>0</v>
      </c>
      <c r="J9" s="18">
        <f t="shared" ref="J9:J12" si="3">D9+F9+H9</f>
        <v>17562.824092540883</v>
      </c>
      <c r="K9" s="36">
        <f t="shared" ref="K9:K12" si="4">J9/3</f>
        <v>5854.2746975136279</v>
      </c>
    </row>
    <row r="10" spans="1:11">
      <c r="A10" s="2" t="s">
        <v>3</v>
      </c>
      <c r="B10" s="131">
        <v>3988.8312724371754</v>
      </c>
      <c r="C10" s="132">
        <v>1</v>
      </c>
      <c r="D10" s="18">
        <f t="shared" si="0"/>
        <v>3988.8312724371754</v>
      </c>
      <c r="E10" s="132"/>
      <c r="F10" s="18">
        <f t="shared" si="1"/>
        <v>0</v>
      </c>
      <c r="G10" s="132"/>
      <c r="H10" s="18">
        <f t="shared" si="2"/>
        <v>0</v>
      </c>
      <c r="J10" s="18">
        <f t="shared" si="3"/>
        <v>3988.8312724371754</v>
      </c>
      <c r="K10" s="36">
        <f t="shared" si="4"/>
        <v>1329.6104241457251</v>
      </c>
    </row>
    <row r="11" spans="1:11">
      <c r="A11" s="2" t="s">
        <v>4</v>
      </c>
      <c r="B11" s="132"/>
      <c r="C11" s="132"/>
      <c r="D11" s="18">
        <f t="shared" si="0"/>
        <v>0</v>
      </c>
      <c r="E11" s="132"/>
      <c r="F11" s="18">
        <f t="shared" si="1"/>
        <v>0</v>
      </c>
      <c r="G11" s="132"/>
      <c r="H11" s="18">
        <f t="shared" si="2"/>
        <v>0</v>
      </c>
      <c r="J11" s="18">
        <f t="shared" si="3"/>
        <v>0</v>
      </c>
      <c r="K11" s="36">
        <f t="shared" si="4"/>
        <v>0</v>
      </c>
    </row>
    <row r="12" spans="1:11">
      <c r="A12" s="2" t="s">
        <v>5</v>
      </c>
      <c r="B12" s="132"/>
      <c r="C12" s="132"/>
      <c r="D12" s="18">
        <f t="shared" si="0"/>
        <v>0</v>
      </c>
      <c r="E12" s="132"/>
      <c r="F12" s="18">
        <f t="shared" si="1"/>
        <v>0</v>
      </c>
      <c r="G12" s="132"/>
      <c r="H12" s="18">
        <f t="shared" si="2"/>
        <v>0</v>
      </c>
      <c r="J12" s="18">
        <f t="shared" si="3"/>
        <v>0</v>
      </c>
      <c r="K12" s="36">
        <f t="shared" si="4"/>
        <v>0</v>
      </c>
    </row>
    <row r="13" spans="1:11">
      <c r="A13" s="37" t="s">
        <v>6</v>
      </c>
      <c r="B13" s="38"/>
      <c r="C13" s="38"/>
      <c r="D13" s="38">
        <f>SUM(D8:D12)</f>
        <v>116485.83964898283</v>
      </c>
      <c r="E13" s="38"/>
      <c r="F13" s="38">
        <f>SUM(F8:F12)</f>
        <v>0</v>
      </c>
      <c r="G13" s="38"/>
      <c r="H13" s="38">
        <f>SUM(H8:H12)</f>
        <v>0</v>
      </c>
      <c r="I13" s="38"/>
      <c r="J13" s="38">
        <f>SUM(J8:J12)</f>
        <v>116485.83964898283</v>
      </c>
      <c r="K13" s="39"/>
    </row>
    <row r="14" spans="1:11">
      <c r="A14" s="2"/>
    </row>
    <row r="15" spans="1:11">
      <c r="A15" s="3" t="s">
        <v>7</v>
      </c>
    </row>
    <row r="16" spans="1:11">
      <c r="A16" s="4" t="s">
        <v>8</v>
      </c>
      <c r="B16" s="69">
        <v>31910.650179497403</v>
      </c>
      <c r="C16" s="132">
        <v>1</v>
      </c>
      <c r="D16" s="18">
        <f t="shared" ref="D16:D17" si="5">B16*C16</f>
        <v>31910.650179497403</v>
      </c>
      <c r="E16" s="132"/>
      <c r="F16" s="18">
        <f>E16*B16</f>
        <v>0</v>
      </c>
      <c r="G16" s="132"/>
      <c r="H16" s="18">
        <f t="shared" ref="H16:H17" si="6">G16*B16</f>
        <v>0</v>
      </c>
      <c r="J16" s="18">
        <f t="shared" ref="J16" si="7">D16+F16+H16</f>
        <v>31910.650179497403</v>
      </c>
      <c r="K16" s="36">
        <f t="shared" ref="K16:K17" si="8">J16/3</f>
        <v>10636.883393165801</v>
      </c>
    </row>
    <row r="17" spans="1:11">
      <c r="A17" s="4" t="s">
        <v>9</v>
      </c>
      <c r="B17" s="55">
        <v>6382.1300358994804</v>
      </c>
      <c r="C17" s="132">
        <v>1</v>
      </c>
      <c r="D17" s="18">
        <f t="shared" si="5"/>
        <v>6382.1300358994804</v>
      </c>
      <c r="E17" s="132"/>
      <c r="F17" s="18">
        <f>E17*B17</f>
        <v>0</v>
      </c>
      <c r="G17" s="132"/>
      <c r="H17" s="18">
        <f t="shared" si="6"/>
        <v>0</v>
      </c>
      <c r="J17" s="18">
        <f t="shared" ref="J17" si="9">D17+F17+H17</f>
        <v>6382.1300358994804</v>
      </c>
      <c r="K17" s="36">
        <f t="shared" si="8"/>
        <v>2127.3766786331603</v>
      </c>
    </row>
    <row r="18" spans="1:11">
      <c r="A18" s="37" t="s">
        <v>10</v>
      </c>
      <c r="B18" s="38"/>
      <c r="C18" s="38"/>
      <c r="D18" s="38">
        <f>SUM(D16:D17)</f>
        <v>38292.780215396881</v>
      </c>
      <c r="E18" s="38"/>
      <c r="F18" s="38">
        <f>SUM(F16:F17)</f>
        <v>0</v>
      </c>
      <c r="G18" s="38"/>
      <c r="H18" s="38">
        <f>SUM(H16:H17)</f>
        <v>0</v>
      </c>
      <c r="I18" s="38"/>
      <c r="J18" s="38">
        <f>SUM(J16:J17)</f>
        <v>38292.780215396881</v>
      </c>
      <c r="K18" s="39"/>
    </row>
    <row r="19" spans="1:11">
      <c r="A19" s="2"/>
    </row>
    <row r="20" spans="1:11">
      <c r="A20" s="3" t="s">
        <v>11</v>
      </c>
    </row>
    <row r="21" spans="1:11">
      <c r="A21" s="4" t="s">
        <v>12</v>
      </c>
      <c r="B21" s="69">
        <v>29251.429331205953</v>
      </c>
      <c r="C21" s="132">
        <v>1</v>
      </c>
      <c r="D21" s="18">
        <f t="shared" ref="D21:D23" si="10">B21*C21</f>
        <v>29251.429331205953</v>
      </c>
      <c r="E21" s="132"/>
      <c r="F21" s="18">
        <f>E21*B21</f>
        <v>0</v>
      </c>
      <c r="G21" s="132"/>
      <c r="H21" s="18">
        <f t="shared" ref="H21" si="11">G21*B21</f>
        <v>0</v>
      </c>
      <c r="J21" s="18">
        <f t="shared" ref="J21" si="12">D21+F21+H21</f>
        <v>29251.429331205953</v>
      </c>
      <c r="K21" s="36">
        <f t="shared" ref="K21:K25" si="13">J21/3</f>
        <v>9750.4764437353169</v>
      </c>
    </row>
    <row r="22" spans="1:11">
      <c r="A22" s="4" t="s">
        <v>13</v>
      </c>
      <c r="B22" s="69">
        <v>2659.2208482914502</v>
      </c>
      <c r="C22" s="132">
        <v>1</v>
      </c>
      <c r="D22" s="18">
        <f t="shared" si="10"/>
        <v>2659.2208482914502</v>
      </c>
      <c r="E22" s="132"/>
      <c r="F22" s="18">
        <f>E22*B22</f>
        <v>0</v>
      </c>
      <c r="G22" s="132"/>
      <c r="H22" s="18">
        <f t="shared" ref="H22:H23" si="14">G22*B22</f>
        <v>0</v>
      </c>
      <c r="J22" s="18">
        <f t="shared" ref="J22:J23" si="15">D22+F22+H22</f>
        <v>2659.2208482914502</v>
      </c>
      <c r="K22" s="36">
        <f t="shared" si="13"/>
        <v>886.40694943048345</v>
      </c>
    </row>
    <row r="23" spans="1:11">
      <c r="A23" s="4" t="s">
        <v>14</v>
      </c>
      <c r="B23" s="69">
        <v>3191.0650179497402</v>
      </c>
      <c r="C23" s="132">
        <v>1</v>
      </c>
      <c r="D23" s="18">
        <f t="shared" si="10"/>
        <v>3191.0650179497402</v>
      </c>
      <c r="E23" s="132"/>
      <c r="F23" s="18">
        <f>E23*B23</f>
        <v>0</v>
      </c>
      <c r="G23" s="132"/>
      <c r="H23" s="18">
        <f t="shared" si="14"/>
        <v>0</v>
      </c>
      <c r="J23" s="18">
        <f t="shared" si="15"/>
        <v>3191.0650179497402</v>
      </c>
      <c r="K23" s="36">
        <f t="shared" si="13"/>
        <v>1063.6883393165801</v>
      </c>
    </row>
    <row r="24" spans="1:11">
      <c r="A24" s="37" t="s">
        <v>15</v>
      </c>
      <c r="B24" s="38"/>
      <c r="C24" s="38"/>
      <c r="D24" s="38">
        <f>SUM(D21:D23)</f>
        <v>35101.715197447142</v>
      </c>
      <c r="E24" s="38"/>
      <c r="F24" s="38">
        <f>SUM(F21:F23)</f>
        <v>0</v>
      </c>
      <c r="G24" s="38"/>
      <c r="H24" s="38">
        <f>SUM(H21:H23)</f>
        <v>0</v>
      </c>
      <c r="I24" s="38"/>
      <c r="J24" s="38">
        <f>SUM(J21:J23)</f>
        <v>35101.715197447142</v>
      </c>
      <c r="K24" s="39">
        <f t="shared" si="13"/>
        <v>11700.57173248238</v>
      </c>
    </row>
    <row r="25" spans="1:11">
      <c r="A25" s="41" t="s">
        <v>139</v>
      </c>
      <c r="B25" s="40"/>
      <c r="C25" s="40"/>
      <c r="D25" s="40">
        <f>D13+D18+D24</f>
        <v>189880.33506182683</v>
      </c>
      <c r="E25" s="40"/>
      <c r="F25" s="40">
        <f>F13+F18+F24</f>
        <v>0</v>
      </c>
      <c r="G25" s="40"/>
      <c r="H25" s="40">
        <f>H13+H18+H24</f>
        <v>0</v>
      </c>
      <c r="I25" s="40"/>
      <c r="J25" s="40">
        <f>J13+J18+J24</f>
        <v>189880.33506182683</v>
      </c>
      <c r="K25" s="40">
        <f t="shared" si="13"/>
        <v>63293.445020608946</v>
      </c>
    </row>
    <row r="28" spans="1:11" ht="15.75">
      <c r="A28" s="26" t="s">
        <v>138</v>
      </c>
    </row>
    <row r="29" spans="1:11" ht="18">
      <c r="A29" s="1" t="s">
        <v>16</v>
      </c>
      <c r="B29" s="29"/>
      <c r="C29" s="29"/>
      <c r="D29" s="29"/>
      <c r="E29" s="29"/>
      <c r="G29" s="29"/>
    </row>
    <row r="30" spans="1:11">
      <c r="A30" s="7" t="s">
        <v>17</v>
      </c>
      <c r="B30" s="133"/>
      <c r="C30" s="133"/>
      <c r="D30" s="18">
        <f t="shared" ref="D30:D33" si="16">B30*C30</f>
        <v>0</v>
      </c>
      <c r="E30" s="133"/>
      <c r="F30" s="18">
        <f t="shared" ref="F30:F33" si="17">E30*B30</f>
        <v>0</v>
      </c>
      <c r="G30" s="133"/>
      <c r="H30" s="18">
        <f t="shared" ref="H30:H33" si="18">G30*B30</f>
        <v>0</v>
      </c>
      <c r="J30" s="18">
        <f t="shared" ref="J30" si="19">D30+F30+H30</f>
        <v>0</v>
      </c>
      <c r="K30" s="36">
        <f t="shared" ref="K30:K33" si="20">J30/3</f>
        <v>0</v>
      </c>
    </row>
    <row r="31" spans="1:11">
      <c r="A31" s="7" t="s">
        <v>18</v>
      </c>
      <c r="B31" s="56">
        <f>2659+4787</f>
        <v>7446</v>
      </c>
      <c r="C31" s="133">
        <v>1</v>
      </c>
      <c r="D31" s="18">
        <f t="shared" si="16"/>
        <v>7446</v>
      </c>
      <c r="E31" s="133"/>
      <c r="F31" s="18">
        <f t="shared" si="17"/>
        <v>0</v>
      </c>
      <c r="G31" s="133"/>
      <c r="H31" s="18">
        <f t="shared" si="18"/>
        <v>0</v>
      </c>
      <c r="J31" s="18">
        <f t="shared" ref="J31:J33" si="21">D31+F31+H31</f>
        <v>7446</v>
      </c>
      <c r="K31" s="36">
        <f t="shared" si="20"/>
        <v>2482</v>
      </c>
    </row>
    <row r="32" spans="1:11">
      <c r="A32" s="7" t="s">
        <v>19</v>
      </c>
      <c r="B32" s="30">
        <f>532+319+1808</f>
        <v>2659</v>
      </c>
      <c r="C32" s="133">
        <v>1</v>
      </c>
      <c r="D32" s="18">
        <f t="shared" si="16"/>
        <v>2659</v>
      </c>
      <c r="E32" s="133"/>
      <c r="F32" s="18">
        <f t="shared" si="17"/>
        <v>0</v>
      </c>
      <c r="G32" s="133"/>
      <c r="H32" s="18">
        <f t="shared" si="18"/>
        <v>0</v>
      </c>
      <c r="J32" s="18">
        <f t="shared" si="21"/>
        <v>2659</v>
      </c>
      <c r="K32" s="36">
        <f t="shared" si="20"/>
        <v>886.33333333333337</v>
      </c>
    </row>
    <row r="33" spans="1:11">
      <c r="A33" s="7" t="s">
        <v>20</v>
      </c>
      <c r="B33" s="68">
        <v>2659.2208482914502</v>
      </c>
      <c r="C33" s="133">
        <v>1</v>
      </c>
      <c r="D33" s="18">
        <f t="shared" si="16"/>
        <v>2659.2208482914502</v>
      </c>
      <c r="E33" s="133"/>
      <c r="F33" s="18">
        <f t="shared" si="17"/>
        <v>0</v>
      </c>
      <c r="G33" s="133"/>
      <c r="H33" s="18">
        <f t="shared" si="18"/>
        <v>0</v>
      </c>
      <c r="J33" s="18">
        <f t="shared" si="21"/>
        <v>2659.2208482914502</v>
      </c>
      <c r="K33" s="36">
        <f t="shared" si="20"/>
        <v>886.40694943048345</v>
      </c>
    </row>
    <row r="34" spans="1:11">
      <c r="A34" s="37" t="s">
        <v>142</v>
      </c>
      <c r="B34" s="38"/>
      <c r="C34" s="38"/>
      <c r="D34" s="38">
        <f>SUM(D30:D33)</f>
        <v>12764.22084829145</v>
      </c>
      <c r="E34" s="38"/>
      <c r="F34" s="38">
        <f>SUM(F30:F33)</f>
        <v>0</v>
      </c>
      <c r="G34" s="38"/>
      <c r="H34" s="38">
        <f>SUM(H30:H33)</f>
        <v>0</v>
      </c>
      <c r="I34" s="38"/>
      <c r="J34" s="38">
        <f>SUM(J30:J33)</f>
        <v>12764.22084829145</v>
      </c>
      <c r="K34" s="48">
        <f>SUM(K30:K33)</f>
        <v>4254.740282763817</v>
      </c>
    </row>
    <row r="35" spans="1:11" s="9" customFormat="1">
      <c r="A35" s="1"/>
      <c r="B35" s="22"/>
      <c r="C35" s="22"/>
      <c r="D35" s="22"/>
      <c r="E35" s="22"/>
      <c r="F35" s="22"/>
      <c r="G35" s="22"/>
      <c r="H35" s="22"/>
      <c r="I35" s="22"/>
      <c r="J35" s="22"/>
    </row>
    <row r="36" spans="1:11" ht="18">
      <c r="A36" s="1" t="s">
        <v>21</v>
      </c>
      <c r="B36" s="29"/>
      <c r="C36" s="29"/>
      <c r="D36" s="29"/>
      <c r="E36" s="29"/>
      <c r="G36" s="29"/>
    </row>
    <row r="37" spans="1:11">
      <c r="A37" s="47" t="s">
        <v>143</v>
      </c>
      <c r="B37" s="70">
        <f>30315.1176705225+798+1330+2234</f>
        <v>34677.117670522501</v>
      </c>
      <c r="C37" s="132">
        <v>1</v>
      </c>
      <c r="D37" s="18">
        <f t="shared" ref="D37" si="22">B37*C37</f>
        <v>34677.117670522501</v>
      </c>
      <c r="E37" s="132"/>
      <c r="F37" s="18">
        <f>E37*B37</f>
        <v>0</v>
      </c>
      <c r="G37" s="132"/>
      <c r="H37" s="18">
        <f>G37*B37</f>
        <v>0</v>
      </c>
      <c r="J37" s="18">
        <f t="shared" ref="J37" si="23">D37+F37+H37</f>
        <v>34677.117670522501</v>
      </c>
      <c r="K37" s="36">
        <f t="shared" ref="K37:K38" si="24">J37/3</f>
        <v>11559.0392235075</v>
      </c>
    </row>
    <row r="38" spans="1:11">
      <c r="A38" s="37" t="s">
        <v>144</v>
      </c>
      <c r="B38" s="38"/>
      <c r="C38" s="38"/>
      <c r="D38" s="38">
        <f>SUM(D37)</f>
        <v>34677.117670522501</v>
      </c>
      <c r="E38" s="38"/>
      <c r="F38" s="38">
        <f>SUM(F37)</f>
        <v>0</v>
      </c>
      <c r="G38" s="38"/>
      <c r="H38" s="38">
        <f>SUM(H37)</f>
        <v>0</v>
      </c>
      <c r="I38" s="38"/>
      <c r="J38" s="38">
        <f>SUM(J37)</f>
        <v>34677.117670522501</v>
      </c>
      <c r="K38" s="38">
        <f t="shared" si="24"/>
        <v>11559.0392235075</v>
      </c>
    </row>
    <row r="39" spans="1:11" s="9" customFormat="1">
      <c r="A39" s="8"/>
      <c r="B39" s="30"/>
      <c r="C39" s="30"/>
      <c r="D39" s="22"/>
      <c r="E39" s="30"/>
      <c r="F39" s="22"/>
      <c r="G39" s="30"/>
      <c r="H39" s="22"/>
      <c r="I39" s="22"/>
      <c r="J39" s="22"/>
    </row>
    <row r="40" spans="1:11" s="9" customFormat="1">
      <c r="A40" s="1" t="s">
        <v>22</v>
      </c>
      <c r="B40" s="30"/>
      <c r="C40" s="30"/>
      <c r="D40" s="22"/>
      <c r="E40" s="30"/>
      <c r="F40" s="22"/>
      <c r="G40" s="30"/>
      <c r="H40" s="22"/>
      <c r="I40" s="22"/>
      <c r="J40" s="22"/>
    </row>
    <row r="41" spans="1:11" s="9" customFormat="1">
      <c r="A41" s="47" t="s">
        <v>23</v>
      </c>
      <c r="B41" s="132"/>
      <c r="C41" s="132"/>
      <c r="D41" s="18">
        <f t="shared" ref="D41:D44" si="25">B41*C41</f>
        <v>0</v>
      </c>
      <c r="E41" s="132"/>
      <c r="F41" s="18">
        <f t="shared" ref="F41:F44" si="26">E41*B41</f>
        <v>0</v>
      </c>
      <c r="G41" s="132"/>
      <c r="H41" s="18">
        <f t="shared" ref="H41:H44" si="27">G41*B41</f>
        <v>0</v>
      </c>
      <c r="I41" s="18"/>
      <c r="J41" s="18">
        <f t="shared" ref="J41" si="28">D41+F41+H41</f>
        <v>0</v>
      </c>
      <c r="K41" s="36">
        <f t="shared" ref="K41:K45" si="29">J41/3</f>
        <v>0</v>
      </c>
    </row>
    <row r="42" spans="1:11" s="9" customFormat="1">
      <c r="A42" s="47" t="s">
        <v>24</v>
      </c>
      <c r="B42" s="134">
        <v>250</v>
      </c>
      <c r="C42" s="132">
        <v>3</v>
      </c>
      <c r="D42" s="18">
        <f t="shared" si="25"/>
        <v>750</v>
      </c>
      <c r="E42" s="132"/>
      <c r="F42" s="18">
        <f t="shared" si="26"/>
        <v>0</v>
      </c>
      <c r="G42" s="132"/>
      <c r="H42" s="18">
        <f t="shared" si="27"/>
        <v>0</v>
      </c>
      <c r="I42" s="18"/>
      <c r="J42" s="18">
        <f t="shared" ref="J42:J44" si="30">D42+F42+H42</f>
        <v>750</v>
      </c>
      <c r="K42" s="36">
        <f t="shared" si="29"/>
        <v>250</v>
      </c>
    </row>
    <row r="43" spans="1:11">
      <c r="A43" s="47" t="s">
        <v>25</v>
      </c>
      <c r="B43" s="132"/>
      <c r="C43" s="132"/>
      <c r="D43" s="18">
        <f t="shared" si="25"/>
        <v>0</v>
      </c>
      <c r="E43" s="132"/>
      <c r="F43" s="18">
        <f t="shared" si="26"/>
        <v>0</v>
      </c>
      <c r="G43" s="132"/>
      <c r="H43" s="18">
        <f t="shared" si="27"/>
        <v>0</v>
      </c>
      <c r="J43" s="18">
        <f t="shared" si="30"/>
        <v>0</v>
      </c>
      <c r="K43" s="36">
        <f t="shared" si="29"/>
        <v>0</v>
      </c>
    </row>
    <row r="44" spans="1:11">
      <c r="A44" s="47" t="s">
        <v>26</v>
      </c>
      <c r="B44" s="68">
        <v>74032.708416433976</v>
      </c>
      <c r="C44" s="132">
        <v>1</v>
      </c>
      <c r="D44" s="18">
        <f t="shared" si="25"/>
        <v>74032.708416433976</v>
      </c>
      <c r="E44" s="132"/>
      <c r="F44" s="18">
        <f t="shared" si="26"/>
        <v>0</v>
      </c>
      <c r="G44" s="132"/>
      <c r="H44" s="18">
        <f t="shared" si="27"/>
        <v>0</v>
      </c>
      <c r="J44" s="18">
        <f t="shared" si="30"/>
        <v>74032.708416433976</v>
      </c>
      <c r="K44" s="36">
        <f t="shared" si="29"/>
        <v>24677.56947214466</v>
      </c>
    </row>
    <row r="45" spans="1:11">
      <c r="A45" s="37" t="s">
        <v>145</v>
      </c>
      <c r="B45" s="38"/>
      <c r="C45" s="38"/>
      <c r="D45" s="38">
        <f>SUM(D41:D44)</f>
        <v>74782.708416433976</v>
      </c>
      <c r="E45" s="38"/>
      <c r="F45" s="38">
        <f>SUM(F41:F44)</f>
        <v>0</v>
      </c>
      <c r="G45" s="38"/>
      <c r="H45" s="38">
        <f>SUM(H41:H44)</f>
        <v>0</v>
      </c>
      <c r="I45" s="38"/>
      <c r="J45" s="38">
        <f>SUM(J41:J44)</f>
        <v>74782.708416433976</v>
      </c>
      <c r="K45" s="38">
        <f t="shared" si="29"/>
        <v>24927.56947214466</v>
      </c>
    </row>
    <row r="46" spans="1:11">
      <c r="A46" s="8"/>
      <c r="B46" s="32"/>
      <c r="C46" s="32"/>
      <c r="E46" s="32"/>
      <c r="G46" s="32"/>
    </row>
    <row r="47" spans="1:11" s="9" customFormat="1">
      <c r="A47" s="1" t="s">
        <v>27</v>
      </c>
      <c r="B47" s="31"/>
      <c r="C47" s="31"/>
      <c r="D47" s="22"/>
      <c r="E47" s="31"/>
      <c r="F47" s="22"/>
      <c r="G47" s="31"/>
      <c r="H47" s="22"/>
      <c r="I47" s="22"/>
      <c r="J47" s="22"/>
    </row>
    <row r="48" spans="1:11">
      <c r="A48" s="11" t="s">
        <v>28</v>
      </c>
      <c r="B48" s="132">
        <v>100</v>
      </c>
      <c r="C48" s="132">
        <v>3</v>
      </c>
      <c r="D48" s="18">
        <f t="shared" ref="D48:D52" si="31">B48*C48</f>
        <v>300</v>
      </c>
      <c r="E48" s="135"/>
      <c r="F48" s="18">
        <f t="shared" ref="F48:F52" si="32">E48*B48</f>
        <v>0</v>
      </c>
      <c r="G48" s="135"/>
      <c r="H48" s="18">
        <f t="shared" ref="H48:H52" si="33">G48*B48</f>
        <v>0</v>
      </c>
      <c r="J48" s="18">
        <f t="shared" ref="J48" si="34">D48+F48+H48</f>
        <v>300</v>
      </c>
      <c r="K48" s="36">
        <f t="shared" ref="K48:K53" si="35">J48/3</f>
        <v>100</v>
      </c>
    </row>
    <row r="49" spans="1:11">
      <c r="A49" s="11" t="s">
        <v>29</v>
      </c>
      <c r="B49" s="134">
        <v>250</v>
      </c>
      <c r="C49" s="132">
        <v>3</v>
      </c>
      <c r="D49" s="18">
        <f t="shared" si="31"/>
        <v>750</v>
      </c>
      <c r="E49" s="135"/>
      <c r="F49" s="18">
        <f t="shared" si="32"/>
        <v>0</v>
      </c>
      <c r="G49" s="135"/>
      <c r="H49" s="18">
        <f t="shared" si="33"/>
        <v>0</v>
      </c>
      <c r="J49" s="18">
        <f t="shared" ref="J49:J52" si="36">D49+F49+H49</f>
        <v>750</v>
      </c>
      <c r="K49" s="36">
        <f t="shared" si="35"/>
        <v>250</v>
      </c>
    </row>
    <row r="50" spans="1:11">
      <c r="A50" s="11" t="s">
        <v>30</v>
      </c>
      <c r="B50" s="132">
        <v>150</v>
      </c>
      <c r="C50" s="132">
        <v>3</v>
      </c>
      <c r="D50" s="18">
        <f t="shared" si="31"/>
        <v>450</v>
      </c>
      <c r="E50" s="135"/>
      <c r="F50" s="18">
        <f t="shared" si="32"/>
        <v>0</v>
      </c>
      <c r="G50" s="135"/>
      <c r="H50" s="18">
        <f t="shared" si="33"/>
        <v>0</v>
      </c>
      <c r="J50" s="18">
        <f t="shared" si="36"/>
        <v>450</v>
      </c>
      <c r="K50" s="36">
        <f t="shared" si="35"/>
        <v>150</v>
      </c>
    </row>
    <row r="51" spans="1:11">
      <c r="A51" s="11" t="s">
        <v>31</v>
      </c>
      <c r="B51" s="131">
        <v>100</v>
      </c>
      <c r="C51" s="132">
        <v>10</v>
      </c>
      <c r="D51" s="18">
        <f t="shared" si="31"/>
        <v>1000</v>
      </c>
      <c r="E51" s="135"/>
      <c r="F51" s="18">
        <f t="shared" si="32"/>
        <v>0</v>
      </c>
      <c r="G51" s="135"/>
      <c r="H51" s="18">
        <f t="shared" si="33"/>
        <v>0</v>
      </c>
      <c r="J51" s="18">
        <f t="shared" si="36"/>
        <v>1000</v>
      </c>
      <c r="K51" s="36">
        <f t="shared" si="35"/>
        <v>333.33333333333331</v>
      </c>
    </row>
    <row r="52" spans="1:11">
      <c r="A52" s="11" t="s">
        <v>32</v>
      </c>
      <c r="B52" s="132"/>
      <c r="C52" s="135"/>
      <c r="D52" s="18">
        <f t="shared" si="31"/>
        <v>0</v>
      </c>
      <c r="E52" s="135"/>
      <c r="F52" s="18">
        <f t="shared" si="32"/>
        <v>0</v>
      </c>
      <c r="G52" s="135"/>
      <c r="H52" s="18">
        <f t="shared" si="33"/>
        <v>0</v>
      </c>
      <c r="J52" s="18">
        <f t="shared" si="36"/>
        <v>0</v>
      </c>
      <c r="K52" s="36">
        <f t="shared" si="35"/>
        <v>0</v>
      </c>
    </row>
    <row r="53" spans="1:11">
      <c r="A53" s="37" t="s">
        <v>146</v>
      </c>
      <c r="B53" s="38"/>
      <c r="C53" s="38"/>
      <c r="D53" s="38">
        <f>SUM(D48:D52)</f>
        <v>2500</v>
      </c>
      <c r="E53" s="38"/>
      <c r="F53" s="38">
        <f>SUM(F48:F52)</f>
        <v>0</v>
      </c>
      <c r="G53" s="38"/>
      <c r="H53" s="38">
        <f>SUM(H48:H52)</f>
        <v>0</v>
      </c>
      <c r="I53" s="38"/>
      <c r="J53" s="38">
        <f>SUM(J48:J52)</f>
        <v>2500</v>
      </c>
      <c r="K53" s="38">
        <f t="shared" si="35"/>
        <v>833.33333333333337</v>
      </c>
    </row>
    <row r="54" spans="1:11">
      <c r="B54" s="34"/>
      <c r="C54" s="34"/>
      <c r="E54" s="34"/>
      <c r="G54" s="34"/>
    </row>
    <row r="55" spans="1:11">
      <c r="A55" s="3" t="s">
        <v>33</v>
      </c>
      <c r="B55" s="33"/>
      <c r="C55" s="33"/>
      <c r="E55" s="33"/>
      <c r="G55" s="33"/>
    </row>
    <row r="56" spans="1:11">
      <c r="A56" s="11" t="s">
        <v>34</v>
      </c>
      <c r="B56" s="132"/>
      <c r="C56" s="132"/>
      <c r="D56" s="18">
        <f t="shared" ref="D56:D59" si="37">B56*C56</f>
        <v>0</v>
      </c>
      <c r="E56" s="132"/>
      <c r="F56" s="18">
        <f t="shared" ref="F56:F59" si="38">E56*B56</f>
        <v>0</v>
      </c>
      <c r="G56" s="132"/>
      <c r="H56" s="18">
        <f t="shared" ref="H56:H59" si="39">G56*B56</f>
        <v>0</v>
      </c>
      <c r="J56" s="18">
        <f t="shared" ref="J56" si="40">D56+F56+H56</f>
        <v>0</v>
      </c>
      <c r="K56" s="36">
        <f t="shared" ref="K56:K60" si="41">J56/3</f>
        <v>0</v>
      </c>
    </row>
    <row r="57" spans="1:11">
      <c r="A57" s="11" t="s">
        <v>35</v>
      </c>
      <c r="B57" s="68">
        <v>5531.1793644462168</v>
      </c>
      <c r="C57" s="132">
        <v>1</v>
      </c>
      <c r="D57" s="18">
        <f t="shared" si="37"/>
        <v>5531.1793644462168</v>
      </c>
      <c r="E57" s="132"/>
      <c r="F57" s="18">
        <f t="shared" si="38"/>
        <v>0</v>
      </c>
      <c r="G57" s="132"/>
      <c r="H57" s="18">
        <f t="shared" si="39"/>
        <v>0</v>
      </c>
      <c r="J57" s="18">
        <f t="shared" ref="J57:J59" si="42">D57+F57+H57</f>
        <v>5531.1793644462168</v>
      </c>
      <c r="K57" s="36">
        <f t="shared" si="41"/>
        <v>1843.7264548154055</v>
      </c>
    </row>
    <row r="58" spans="1:11">
      <c r="A58" s="11" t="s">
        <v>36</v>
      </c>
      <c r="B58" s="135"/>
      <c r="C58" s="135"/>
      <c r="D58" s="18">
        <f t="shared" si="37"/>
        <v>0</v>
      </c>
      <c r="E58" s="135"/>
      <c r="F58" s="18">
        <f t="shared" si="38"/>
        <v>0</v>
      </c>
      <c r="G58" s="135"/>
      <c r="H58" s="18">
        <f t="shared" si="39"/>
        <v>0</v>
      </c>
      <c r="J58" s="18">
        <f t="shared" si="42"/>
        <v>0</v>
      </c>
      <c r="K58" s="36">
        <f t="shared" si="41"/>
        <v>0</v>
      </c>
    </row>
    <row r="59" spans="1:11">
      <c r="A59" s="11" t="s">
        <v>37</v>
      </c>
      <c r="B59" s="136"/>
      <c r="C59" s="136"/>
      <c r="D59" s="18">
        <f t="shared" si="37"/>
        <v>0</v>
      </c>
      <c r="E59" s="136"/>
      <c r="F59" s="18">
        <f t="shared" si="38"/>
        <v>0</v>
      </c>
      <c r="G59" s="136"/>
      <c r="H59" s="18">
        <f t="shared" si="39"/>
        <v>0</v>
      </c>
      <c r="J59" s="18">
        <f t="shared" si="42"/>
        <v>0</v>
      </c>
      <c r="K59" s="36">
        <f t="shared" si="41"/>
        <v>0</v>
      </c>
    </row>
    <row r="60" spans="1:11">
      <c r="A60" s="37" t="s">
        <v>147</v>
      </c>
      <c r="B60" s="38"/>
      <c r="C60" s="38"/>
      <c r="D60" s="38">
        <f>SUM(D56:D59)</f>
        <v>5531.1793644462168</v>
      </c>
      <c r="E60" s="38"/>
      <c r="F60" s="38">
        <f>SUM(F56:F59)</f>
        <v>0</v>
      </c>
      <c r="G60" s="38"/>
      <c r="H60" s="38">
        <f>SUM(H56:H59)</f>
        <v>0</v>
      </c>
      <c r="I60" s="38"/>
      <c r="J60" s="38">
        <f>SUM(J56:J59)</f>
        <v>5531.1793644462168</v>
      </c>
      <c r="K60" s="38">
        <f t="shared" si="41"/>
        <v>1843.7264548154055</v>
      </c>
    </row>
    <row r="61" spans="1:11">
      <c r="A61" s="10"/>
    </row>
    <row r="62" spans="1:11">
      <c r="A62" s="41" t="s">
        <v>141</v>
      </c>
      <c r="B62" s="40"/>
      <c r="C62" s="40"/>
      <c r="D62" s="40">
        <f>D34+D38+D45+D53+D60</f>
        <v>130255.22629969414</v>
      </c>
      <c r="E62" s="40"/>
      <c r="F62" s="40">
        <f>F34+F38+F45+F53+F60</f>
        <v>0</v>
      </c>
      <c r="G62" s="40"/>
      <c r="H62" s="40">
        <f>H34+H38+H45+H53+H60</f>
        <v>0</v>
      </c>
      <c r="I62" s="40"/>
      <c r="J62" s="40">
        <f>J34+J38+J45+J53+J60</f>
        <v>130255.22629969414</v>
      </c>
      <c r="K62" s="40">
        <f t="shared" ref="K62" si="43">J62/3</f>
        <v>43418.408766564717</v>
      </c>
    </row>
    <row r="63" spans="1:11" ht="12.75" customHeight="1">
      <c r="A63" s="5"/>
      <c r="B63" s="29"/>
      <c r="C63" s="29"/>
      <c r="D63" s="29"/>
      <c r="E63" s="29"/>
      <c r="G63" s="29"/>
    </row>
    <row r="64" spans="1:11">
      <c r="B64" s="32"/>
      <c r="C64" s="32"/>
      <c r="E64" s="32"/>
      <c r="G64" s="32"/>
    </row>
    <row r="65" spans="1:11" ht="15.75">
      <c r="A65" s="26" t="s">
        <v>38</v>
      </c>
    </row>
    <row r="66" spans="1:11">
      <c r="B66" s="32"/>
      <c r="C66" s="32"/>
      <c r="E66" s="32"/>
      <c r="G66" s="32"/>
    </row>
    <row r="67" spans="1:11" ht="18">
      <c r="A67" s="6" t="s">
        <v>39</v>
      </c>
    </row>
    <row r="68" spans="1:11">
      <c r="A68" s="11" t="s">
        <v>40</v>
      </c>
      <c r="B68" s="132"/>
      <c r="C68" s="132"/>
      <c r="D68" s="18">
        <f t="shared" ref="D68" si="44">B68*C68</f>
        <v>0</v>
      </c>
      <c r="E68" s="132"/>
      <c r="F68" s="18">
        <f t="shared" ref="F68" si="45">E68*B68</f>
        <v>0</v>
      </c>
      <c r="G68" s="132"/>
      <c r="H68" s="18">
        <f t="shared" ref="H68" si="46">G68*B68</f>
        <v>0</v>
      </c>
      <c r="J68" s="18">
        <f t="shared" ref="J68" si="47">D68+F68+H68</f>
        <v>0</v>
      </c>
      <c r="K68" s="36">
        <f t="shared" ref="K68:K75" si="48">J68/3</f>
        <v>0</v>
      </c>
    </row>
    <row r="69" spans="1:11">
      <c r="A69" s="11" t="s">
        <v>41</v>
      </c>
      <c r="B69" s="68">
        <v>2659.2208482914502</v>
      </c>
      <c r="C69" s="132">
        <v>1</v>
      </c>
      <c r="D69" s="18">
        <f t="shared" ref="D69:D74" si="49">B69*C69</f>
        <v>2659.2208482914502</v>
      </c>
      <c r="E69" s="132"/>
      <c r="F69" s="18">
        <f t="shared" ref="F69:F73" si="50">E69*B69</f>
        <v>0</v>
      </c>
      <c r="G69" s="132"/>
      <c r="H69" s="18">
        <f t="shared" ref="H69:H73" si="51">G69*B69</f>
        <v>0</v>
      </c>
      <c r="J69" s="18">
        <f t="shared" ref="J69:J73" si="52">D69+F69+H69</f>
        <v>2659.2208482914502</v>
      </c>
      <c r="K69" s="36">
        <f t="shared" si="48"/>
        <v>886.40694943048345</v>
      </c>
    </row>
    <row r="70" spans="1:11">
      <c r="A70" s="11" t="s">
        <v>42</v>
      </c>
      <c r="B70" s="132"/>
      <c r="C70" s="132"/>
      <c r="D70" s="18">
        <f t="shared" si="49"/>
        <v>0</v>
      </c>
      <c r="E70" s="132"/>
      <c r="F70" s="18">
        <f t="shared" si="50"/>
        <v>0</v>
      </c>
      <c r="G70" s="132"/>
      <c r="H70" s="18">
        <f t="shared" si="51"/>
        <v>0</v>
      </c>
      <c r="J70" s="18">
        <f t="shared" si="52"/>
        <v>0</v>
      </c>
      <c r="K70" s="36">
        <f t="shared" si="48"/>
        <v>0</v>
      </c>
    </row>
    <row r="71" spans="1:11">
      <c r="A71" s="11" t="s">
        <v>43</v>
      </c>
      <c r="B71" s="72">
        <v>1329.6104241457251</v>
      </c>
      <c r="C71" s="132">
        <v>1</v>
      </c>
      <c r="D71" s="18">
        <f t="shared" si="49"/>
        <v>1329.6104241457251</v>
      </c>
      <c r="E71" s="132"/>
      <c r="F71" s="18">
        <f t="shared" si="50"/>
        <v>0</v>
      </c>
      <c r="G71" s="132"/>
      <c r="H71" s="18">
        <f t="shared" si="51"/>
        <v>0</v>
      </c>
      <c r="J71" s="18">
        <f t="shared" si="52"/>
        <v>1329.6104241457251</v>
      </c>
      <c r="K71" s="36">
        <f t="shared" si="48"/>
        <v>443.20347471524173</v>
      </c>
    </row>
    <row r="72" spans="1:11">
      <c r="A72" s="11" t="s">
        <v>44</v>
      </c>
      <c r="B72" s="75">
        <v>1861.4545938040153</v>
      </c>
      <c r="C72" s="132">
        <v>1</v>
      </c>
      <c r="D72" s="18">
        <f t="shared" si="49"/>
        <v>1861.4545938040153</v>
      </c>
      <c r="E72" s="132"/>
      <c r="F72" s="18">
        <f t="shared" si="50"/>
        <v>0</v>
      </c>
      <c r="G72" s="132"/>
      <c r="H72" s="18">
        <f t="shared" si="51"/>
        <v>0</v>
      </c>
      <c r="J72" s="18">
        <f t="shared" si="52"/>
        <v>1861.4545938040153</v>
      </c>
      <c r="K72" s="36">
        <f t="shared" si="48"/>
        <v>620.48486460133847</v>
      </c>
    </row>
    <row r="73" spans="1:11">
      <c r="A73" s="11" t="s">
        <v>45</v>
      </c>
      <c r="B73" s="74">
        <f>1329.61042414573+2925</f>
        <v>4254.6104241457297</v>
      </c>
      <c r="C73" s="132">
        <v>1</v>
      </c>
      <c r="D73" s="18">
        <f t="shared" si="49"/>
        <v>4254.6104241457297</v>
      </c>
      <c r="E73" s="132"/>
      <c r="F73" s="18">
        <f t="shared" si="50"/>
        <v>0</v>
      </c>
      <c r="G73" s="132"/>
      <c r="H73" s="18">
        <f t="shared" si="51"/>
        <v>0</v>
      </c>
      <c r="J73" s="18">
        <f t="shared" si="52"/>
        <v>4254.6104241457297</v>
      </c>
      <c r="K73" s="36">
        <f t="shared" si="48"/>
        <v>1418.2034747152431</v>
      </c>
    </row>
    <row r="74" spans="1:11">
      <c r="A74" s="54" t="s">
        <v>156</v>
      </c>
      <c r="B74" s="76">
        <v>1329.6104241457251</v>
      </c>
      <c r="C74" s="132">
        <v>1</v>
      </c>
      <c r="D74" s="18">
        <f t="shared" si="49"/>
        <v>1329.6104241457251</v>
      </c>
      <c r="E74" s="132"/>
      <c r="G74" s="132"/>
      <c r="K74" s="36"/>
    </row>
    <row r="75" spans="1:11">
      <c r="A75" s="37" t="s">
        <v>148</v>
      </c>
      <c r="B75" s="38"/>
      <c r="C75" s="38"/>
      <c r="D75" s="38">
        <f>SUM(D68:D74)</f>
        <v>11434.506714532647</v>
      </c>
      <c r="E75" s="38"/>
      <c r="F75" s="38">
        <f>SUM(F68:F73)</f>
        <v>0</v>
      </c>
      <c r="G75" s="38"/>
      <c r="H75" s="38">
        <f>SUM(H68:H73)</f>
        <v>0</v>
      </c>
      <c r="I75" s="38"/>
      <c r="J75" s="38">
        <f>SUM(J68:J73)</f>
        <v>10104.896290386921</v>
      </c>
      <c r="K75" s="38">
        <f t="shared" si="48"/>
        <v>3368.2987634623073</v>
      </c>
    </row>
    <row r="76" spans="1:11">
      <c r="B76" s="32"/>
      <c r="C76" s="32"/>
      <c r="E76" s="32"/>
      <c r="G76" s="32"/>
    </row>
    <row r="77" spans="1:11" ht="18">
      <c r="A77" s="6" t="s">
        <v>46</v>
      </c>
      <c r="B77" s="32"/>
      <c r="C77" s="32"/>
      <c r="E77" s="32"/>
      <c r="G77" s="32"/>
    </row>
    <row r="78" spans="1:11">
      <c r="A78" s="1" t="s">
        <v>47</v>
      </c>
    </row>
    <row r="79" spans="1:11">
      <c r="A79" s="11" t="s">
        <v>48</v>
      </c>
      <c r="B79" s="132">
        <v>400</v>
      </c>
      <c r="C79" s="132">
        <v>66</v>
      </c>
      <c r="D79" s="18">
        <f t="shared" ref="D79" si="53">B79*C79</f>
        <v>26400</v>
      </c>
      <c r="E79" s="132"/>
      <c r="F79" s="18">
        <f t="shared" ref="F79" si="54">E79*B79</f>
        <v>0</v>
      </c>
      <c r="G79" s="132"/>
      <c r="H79" s="18">
        <f t="shared" ref="H79" si="55">G79*B79</f>
        <v>0</v>
      </c>
      <c r="J79" s="18">
        <f t="shared" ref="J79" si="56">D79+F79+H79</f>
        <v>26400</v>
      </c>
      <c r="K79" s="36">
        <f t="shared" ref="K79:K107" si="57">J79/3</f>
        <v>8800</v>
      </c>
    </row>
    <row r="80" spans="1:11">
      <c r="A80" s="11" t="s">
        <v>49</v>
      </c>
      <c r="B80" s="132"/>
      <c r="C80" s="132"/>
      <c r="D80" s="18">
        <f t="shared" ref="D80:D106" si="58">B80*C80</f>
        <v>0</v>
      </c>
      <c r="E80" s="132"/>
      <c r="F80" s="18">
        <f t="shared" ref="F80:F106" si="59">E80*B80</f>
        <v>0</v>
      </c>
      <c r="G80" s="132"/>
      <c r="H80" s="18">
        <f t="shared" ref="H80:H106" si="60">G80*B80</f>
        <v>0</v>
      </c>
      <c r="J80" s="18">
        <f t="shared" ref="J80:J106" si="61">D80+F80+H80</f>
        <v>0</v>
      </c>
      <c r="K80" s="36">
        <f t="shared" si="57"/>
        <v>0</v>
      </c>
    </row>
    <row r="81" spans="1:11">
      <c r="A81" s="11" t="s">
        <v>50</v>
      </c>
      <c r="B81" s="73">
        <v>5850.2858662411909</v>
      </c>
      <c r="C81" s="132">
        <v>1</v>
      </c>
      <c r="D81" s="18">
        <f t="shared" si="58"/>
        <v>5850.2858662411909</v>
      </c>
      <c r="E81" s="132"/>
      <c r="F81" s="18">
        <f t="shared" si="59"/>
        <v>0</v>
      </c>
      <c r="G81" s="132"/>
      <c r="H81" s="18">
        <f t="shared" si="60"/>
        <v>0</v>
      </c>
      <c r="J81" s="18">
        <f t="shared" si="61"/>
        <v>5850.2858662411909</v>
      </c>
      <c r="K81" s="36">
        <f t="shared" si="57"/>
        <v>1950.0952887470637</v>
      </c>
    </row>
    <row r="82" spans="1:11">
      <c r="A82" s="11" t="s">
        <v>51</v>
      </c>
      <c r="B82" s="132"/>
      <c r="C82" s="132"/>
      <c r="D82" s="18">
        <f t="shared" si="58"/>
        <v>0</v>
      </c>
      <c r="E82" s="132"/>
      <c r="F82" s="18">
        <f t="shared" si="59"/>
        <v>0</v>
      </c>
      <c r="G82" s="132"/>
      <c r="H82" s="18">
        <f t="shared" si="60"/>
        <v>0</v>
      </c>
      <c r="J82" s="18">
        <f t="shared" si="61"/>
        <v>0</v>
      </c>
      <c r="K82" s="36">
        <f t="shared" si="57"/>
        <v>0</v>
      </c>
    </row>
    <row r="83" spans="1:11">
      <c r="A83" s="11" t="s">
        <v>52</v>
      </c>
      <c r="B83" s="132"/>
      <c r="C83" s="132"/>
      <c r="D83" s="18">
        <f t="shared" si="58"/>
        <v>0</v>
      </c>
      <c r="E83" s="132"/>
      <c r="F83" s="18">
        <f t="shared" si="59"/>
        <v>0</v>
      </c>
      <c r="G83" s="132"/>
      <c r="H83" s="18">
        <f t="shared" si="60"/>
        <v>0</v>
      </c>
      <c r="J83" s="18">
        <f t="shared" si="61"/>
        <v>0</v>
      </c>
      <c r="K83" s="36">
        <f t="shared" si="57"/>
        <v>0</v>
      </c>
    </row>
    <row r="84" spans="1:11">
      <c r="A84" s="11" t="s">
        <v>53</v>
      </c>
      <c r="B84" s="132"/>
      <c r="C84" s="132"/>
      <c r="D84" s="18">
        <f t="shared" si="58"/>
        <v>0</v>
      </c>
      <c r="E84" s="132"/>
      <c r="F84" s="18">
        <f t="shared" si="59"/>
        <v>0</v>
      </c>
      <c r="G84" s="132"/>
      <c r="H84" s="18">
        <f t="shared" si="60"/>
        <v>0</v>
      </c>
      <c r="J84" s="18">
        <f t="shared" si="61"/>
        <v>0</v>
      </c>
      <c r="K84" s="36">
        <f t="shared" si="57"/>
        <v>0</v>
      </c>
    </row>
    <row r="85" spans="1:11">
      <c r="A85" s="11" t="s">
        <v>54</v>
      </c>
      <c r="B85" s="58">
        <f>319.106501794974+6648+13296+1728</f>
        <v>21991.106501794973</v>
      </c>
      <c r="C85" s="132"/>
      <c r="D85" s="18">
        <f t="shared" si="58"/>
        <v>0</v>
      </c>
      <c r="E85" s="132"/>
      <c r="F85" s="18">
        <f t="shared" si="59"/>
        <v>0</v>
      </c>
      <c r="G85" s="132"/>
      <c r="H85" s="18">
        <f t="shared" si="60"/>
        <v>0</v>
      </c>
      <c r="J85" s="18">
        <f t="shared" si="61"/>
        <v>0</v>
      </c>
      <c r="K85" s="36">
        <f t="shared" si="57"/>
        <v>0</v>
      </c>
    </row>
    <row r="86" spans="1:11">
      <c r="A86" s="11" t="s">
        <v>55</v>
      </c>
      <c r="B86" s="61">
        <v>22869.299295306471</v>
      </c>
      <c r="C86" s="132"/>
      <c r="D86" s="18">
        <f t="shared" si="58"/>
        <v>0</v>
      </c>
      <c r="E86" s="132"/>
      <c r="F86" s="18">
        <f t="shared" si="59"/>
        <v>0</v>
      </c>
      <c r="G86" s="132"/>
      <c r="H86" s="18">
        <f t="shared" si="60"/>
        <v>0</v>
      </c>
      <c r="J86" s="18">
        <f t="shared" si="61"/>
        <v>0</v>
      </c>
      <c r="K86" s="36">
        <f t="shared" si="57"/>
        <v>0</v>
      </c>
    </row>
    <row r="87" spans="1:11">
      <c r="A87" s="11" t="s">
        <v>56</v>
      </c>
      <c r="B87" s="132"/>
      <c r="C87" s="132"/>
      <c r="D87" s="18">
        <f t="shared" si="58"/>
        <v>0</v>
      </c>
      <c r="E87" s="132"/>
      <c r="F87" s="18">
        <f t="shared" si="59"/>
        <v>0</v>
      </c>
      <c r="G87" s="132"/>
      <c r="H87" s="18">
        <f t="shared" si="60"/>
        <v>0</v>
      </c>
      <c r="J87" s="18">
        <f t="shared" si="61"/>
        <v>0</v>
      </c>
      <c r="K87" s="36">
        <f t="shared" si="57"/>
        <v>0</v>
      </c>
    </row>
    <row r="88" spans="1:11">
      <c r="A88" s="11" t="s">
        <v>57</v>
      </c>
      <c r="B88" s="132"/>
      <c r="C88" s="132"/>
      <c r="D88" s="18">
        <f t="shared" si="58"/>
        <v>0</v>
      </c>
      <c r="E88" s="132"/>
      <c r="F88" s="18">
        <f t="shared" si="59"/>
        <v>0</v>
      </c>
      <c r="G88" s="132"/>
      <c r="H88" s="18">
        <f t="shared" si="60"/>
        <v>0</v>
      </c>
      <c r="J88" s="18">
        <f t="shared" si="61"/>
        <v>0</v>
      </c>
      <c r="K88" s="36">
        <f t="shared" si="57"/>
        <v>0</v>
      </c>
    </row>
    <row r="89" spans="1:11">
      <c r="A89" s="11" t="s">
        <v>58</v>
      </c>
      <c r="B89" s="132"/>
      <c r="C89" s="132"/>
      <c r="D89" s="18">
        <f t="shared" si="58"/>
        <v>0</v>
      </c>
      <c r="E89" s="132"/>
      <c r="F89" s="18">
        <f t="shared" si="59"/>
        <v>0</v>
      </c>
      <c r="G89" s="132"/>
      <c r="H89" s="18">
        <f t="shared" si="60"/>
        <v>0</v>
      </c>
      <c r="J89" s="18">
        <f t="shared" si="61"/>
        <v>0</v>
      </c>
      <c r="K89" s="36">
        <f t="shared" si="57"/>
        <v>0</v>
      </c>
    </row>
    <row r="90" spans="1:11">
      <c r="A90" s="11" t="s">
        <v>59</v>
      </c>
      <c r="B90" s="132"/>
      <c r="C90" s="132"/>
      <c r="D90" s="18">
        <f t="shared" si="58"/>
        <v>0</v>
      </c>
      <c r="E90" s="132"/>
      <c r="F90" s="18">
        <f t="shared" si="59"/>
        <v>0</v>
      </c>
      <c r="G90" s="132"/>
      <c r="H90" s="18">
        <f t="shared" si="60"/>
        <v>0</v>
      </c>
      <c r="J90" s="18">
        <f t="shared" si="61"/>
        <v>0</v>
      </c>
      <c r="K90" s="36">
        <f t="shared" si="57"/>
        <v>0</v>
      </c>
    </row>
    <row r="91" spans="1:11">
      <c r="A91" s="11" t="s">
        <v>60</v>
      </c>
      <c r="B91" s="132"/>
      <c r="C91" s="132"/>
      <c r="D91" s="18">
        <f t="shared" si="58"/>
        <v>0</v>
      </c>
      <c r="E91" s="132"/>
      <c r="F91" s="18">
        <f t="shared" si="59"/>
        <v>0</v>
      </c>
      <c r="G91" s="132"/>
      <c r="H91" s="18">
        <f t="shared" si="60"/>
        <v>0</v>
      </c>
      <c r="J91" s="18">
        <f t="shared" si="61"/>
        <v>0</v>
      </c>
      <c r="K91" s="36">
        <f t="shared" si="57"/>
        <v>0</v>
      </c>
    </row>
    <row r="92" spans="1:11">
      <c r="A92" s="11" t="s">
        <v>61</v>
      </c>
      <c r="B92" s="132"/>
      <c r="C92" s="132"/>
      <c r="D92" s="18">
        <f t="shared" si="58"/>
        <v>0</v>
      </c>
      <c r="E92" s="132"/>
      <c r="F92" s="18">
        <f t="shared" si="59"/>
        <v>0</v>
      </c>
      <c r="G92" s="132"/>
      <c r="H92" s="18">
        <f t="shared" si="60"/>
        <v>0</v>
      </c>
      <c r="J92" s="18">
        <f t="shared" si="61"/>
        <v>0</v>
      </c>
      <c r="K92" s="36">
        <f t="shared" si="57"/>
        <v>0</v>
      </c>
    </row>
    <row r="93" spans="1:11">
      <c r="A93" s="11" t="s">
        <v>62</v>
      </c>
      <c r="B93" s="132"/>
      <c r="C93" s="132"/>
      <c r="D93" s="18">
        <f t="shared" si="58"/>
        <v>0</v>
      </c>
      <c r="E93" s="132"/>
      <c r="F93" s="18">
        <f t="shared" si="59"/>
        <v>0</v>
      </c>
      <c r="G93" s="132"/>
      <c r="H93" s="18">
        <f t="shared" si="60"/>
        <v>0</v>
      </c>
      <c r="J93" s="18">
        <f t="shared" si="61"/>
        <v>0</v>
      </c>
      <c r="K93" s="36">
        <f t="shared" si="57"/>
        <v>0</v>
      </c>
    </row>
    <row r="94" spans="1:11">
      <c r="A94" s="11" t="s">
        <v>63</v>
      </c>
      <c r="B94" s="132"/>
      <c r="C94" s="132"/>
      <c r="D94" s="18">
        <f t="shared" si="58"/>
        <v>0</v>
      </c>
      <c r="E94" s="132"/>
      <c r="F94" s="18">
        <f t="shared" si="59"/>
        <v>0</v>
      </c>
      <c r="G94" s="132"/>
      <c r="H94" s="18">
        <f t="shared" si="60"/>
        <v>0</v>
      </c>
      <c r="J94" s="18">
        <f t="shared" si="61"/>
        <v>0</v>
      </c>
      <c r="K94" s="36">
        <f t="shared" si="57"/>
        <v>0</v>
      </c>
    </row>
    <row r="95" spans="1:11" ht="12.75" customHeight="1">
      <c r="A95" s="11" t="s">
        <v>64</v>
      </c>
      <c r="B95" s="67">
        <v>5318.4416965829005</v>
      </c>
      <c r="C95" s="132">
        <v>1</v>
      </c>
      <c r="D95" s="18">
        <f t="shared" si="58"/>
        <v>5318.4416965829005</v>
      </c>
      <c r="E95" s="132"/>
      <c r="F95" s="18">
        <f t="shared" si="59"/>
        <v>0</v>
      </c>
      <c r="G95" s="132"/>
      <c r="H95" s="18">
        <f t="shared" si="60"/>
        <v>0</v>
      </c>
      <c r="J95" s="18">
        <f t="shared" si="61"/>
        <v>5318.4416965829005</v>
      </c>
      <c r="K95" s="36">
        <f t="shared" si="57"/>
        <v>1772.8138988609669</v>
      </c>
    </row>
    <row r="96" spans="1:11">
      <c r="A96" s="11" t="s">
        <v>65</v>
      </c>
      <c r="B96" s="132"/>
      <c r="C96" s="132"/>
      <c r="D96" s="18">
        <f t="shared" si="58"/>
        <v>0</v>
      </c>
      <c r="E96" s="132"/>
      <c r="F96" s="18">
        <f t="shared" si="59"/>
        <v>0</v>
      </c>
      <c r="G96" s="132"/>
      <c r="H96" s="18">
        <f t="shared" si="60"/>
        <v>0</v>
      </c>
      <c r="J96" s="18">
        <f t="shared" si="61"/>
        <v>0</v>
      </c>
      <c r="K96" s="36">
        <f t="shared" si="57"/>
        <v>0</v>
      </c>
    </row>
    <row r="97" spans="1:11">
      <c r="A97" s="11" t="s">
        <v>66</v>
      </c>
      <c r="B97" s="132"/>
      <c r="C97" s="132"/>
      <c r="D97" s="18">
        <f t="shared" si="58"/>
        <v>0</v>
      </c>
      <c r="E97" s="132"/>
      <c r="F97" s="18">
        <f t="shared" si="59"/>
        <v>0</v>
      </c>
      <c r="G97" s="132"/>
      <c r="H97" s="18">
        <f t="shared" si="60"/>
        <v>0</v>
      </c>
      <c r="J97" s="18">
        <f t="shared" si="61"/>
        <v>0</v>
      </c>
      <c r="K97" s="36">
        <f t="shared" si="57"/>
        <v>0</v>
      </c>
    </row>
    <row r="98" spans="1:11">
      <c r="A98" s="11" t="s">
        <v>67</v>
      </c>
      <c r="B98" s="132"/>
      <c r="C98" s="132"/>
      <c r="D98" s="18">
        <f t="shared" si="58"/>
        <v>0</v>
      </c>
      <c r="E98" s="132"/>
      <c r="F98" s="18">
        <f t="shared" si="59"/>
        <v>0</v>
      </c>
      <c r="G98" s="132"/>
      <c r="H98" s="18">
        <f t="shared" si="60"/>
        <v>0</v>
      </c>
      <c r="J98" s="18">
        <f t="shared" si="61"/>
        <v>0</v>
      </c>
      <c r="K98" s="36">
        <f t="shared" si="57"/>
        <v>0</v>
      </c>
    </row>
    <row r="99" spans="1:11">
      <c r="A99" s="11" t="s">
        <v>68</v>
      </c>
      <c r="B99" s="132"/>
      <c r="C99" s="132"/>
      <c r="D99" s="18">
        <f t="shared" si="58"/>
        <v>0</v>
      </c>
      <c r="E99" s="132"/>
      <c r="F99" s="18">
        <f t="shared" si="59"/>
        <v>0</v>
      </c>
      <c r="G99" s="132"/>
      <c r="H99" s="18">
        <f t="shared" si="60"/>
        <v>0</v>
      </c>
      <c r="J99" s="18">
        <f t="shared" si="61"/>
        <v>0</v>
      </c>
      <c r="K99" s="36">
        <f t="shared" si="57"/>
        <v>0</v>
      </c>
    </row>
    <row r="100" spans="1:11">
      <c r="A100" s="11" t="s">
        <v>69</v>
      </c>
      <c r="B100" s="132"/>
      <c r="C100" s="132"/>
      <c r="D100" s="18">
        <f t="shared" si="58"/>
        <v>0</v>
      </c>
      <c r="E100" s="132"/>
      <c r="F100" s="18">
        <f t="shared" si="59"/>
        <v>0</v>
      </c>
      <c r="G100" s="132"/>
      <c r="H100" s="18">
        <f t="shared" si="60"/>
        <v>0</v>
      </c>
      <c r="J100" s="18">
        <f t="shared" si="61"/>
        <v>0</v>
      </c>
      <c r="K100" s="36">
        <f t="shared" si="57"/>
        <v>0</v>
      </c>
    </row>
    <row r="101" spans="1:11">
      <c r="A101" s="11" t="s">
        <v>70</v>
      </c>
      <c r="B101" s="132"/>
      <c r="C101" s="132"/>
      <c r="D101" s="18">
        <f t="shared" si="58"/>
        <v>0</v>
      </c>
      <c r="E101" s="132"/>
      <c r="F101" s="18">
        <f t="shared" si="59"/>
        <v>0</v>
      </c>
      <c r="G101" s="132"/>
      <c r="H101" s="18">
        <f t="shared" si="60"/>
        <v>0</v>
      </c>
      <c r="J101" s="18">
        <f t="shared" si="61"/>
        <v>0</v>
      </c>
      <c r="K101" s="36">
        <f t="shared" si="57"/>
        <v>0</v>
      </c>
    </row>
    <row r="102" spans="1:11">
      <c r="A102" s="11" t="s">
        <v>71</v>
      </c>
      <c r="B102" s="132"/>
      <c r="C102" s="132"/>
      <c r="D102" s="18">
        <f t="shared" si="58"/>
        <v>0</v>
      </c>
      <c r="E102" s="132"/>
      <c r="F102" s="18">
        <f t="shared" si="59"/>
        <v>0</v>
      </c>
      <c r="G102" s="132"/>
      <c r="H102" s="18">
        <f t="shared" si="60"/>
        <v>0</v>
      </c>
      <c r="J102" s="18">
        <f t="shared" si="61"/>
        <v>0</v>
      </c>
      <c r="K102" s="36">
        <f t="shared" si="57"/>
        <v>0</v>
      </c>
    </row>
    <row r="103" spans="1:11">
      <c r="A103" s="11" t="s">
        <v>72</v>
      </c>
      <c r="B103" s="132"/>
      <c r="C103" s="132"/>
      <c r="D103" s="18">
        <f t="shared" si="58"/>
        <v>0</v>
      </c>
      <c r="E103" s="132"/>
      <c r="F103" s="18">
        <f t="shared" si="59"/>
        <v>0</v>
      </c>
      <c r="G103" s="132"/>
      <c r="H103" s="18">
        <f t="shared" si="60"/>
        <v>0</v>
      </c>
      <c r="J103" s="18">
        <f t="shared" si="61"/>
        <v>0</v>
      </c>
      <c r="K103" s="36">
        <f t="shared" si="57"/>
        <v>0</v>
      </c>
    </row>
    <row r="104" spans="1:11">
      <c r="A104" s="11" t="s">
        <v>73</v>
      </c>
      <c r="B104" s="132"/>
      <c r="C104" s="132"/>
      <c r="D104" s="18">
        <f t="shared" si="58"/>
        <v>0</v>
      </c>
      <c r="E104" s="132"/>
      <c r="F104" s="18">
        <f t="shared" si="59"/>
        <v>0</v>
      </c>
      <c r="G104" s="132"/>
      <c r="H104" s="18">
        <f t="shared" si="60"/>
        <v>0</v>
      </c>
      <c r="J104" s="18">
        <f t="shared" si="61"/>
        <v>0</v>
      </c>
      <c r="K104" s="36">
        <f t="shared" si="57"/>
        <v>0</v>
      </c>
    </row>
    <row r="105" spans="1:11">
      <c r="A105" s="11" t="s">
        <v>74</v>
      </c>
      <c r="B105" s="132"/>
      <c r="C105" s="132"/>
      <c r="D105" s="18">
        <f t="shared" si="58"/>
        <v>0</v>
      </c>
      <c r="E105" s="132"/>
      <c r="F105" s="18">
        <f t="shared" si="59"/>
        <v>0</v>
      </c>
      <c r="G105" s="132"/>
      <c r="H105" s="18">
        <f t="shared" si="60"/>
        <v>0</v>
      </c>
      <c r="J105" s="18">
        <f t="shared" si="61"/>
        <v>0</v>
      </c>
      <c r="K105" s="36">
        <f t="shared" si="57"/>
        <v>0</v>
      </c>
    </row>
    <row r="106" spans="1:11">
      <c r="A106" s="11" t="s">
        <v>75</v>
      </c>
      <c r="B106" s="132"/>
      <c r="C106" s="132"/>
      <c r="D106" s="18">
        <f t="shared" si="58"/>
        <v>0</v>
      </c>
      <c r="E106" s="132"/>
      <c r="F106" s="18">
        <f t="shared" si="59"/>
        <v>0</v>
      </c>
      <c r="G106" s="132"/>
      <c r="H106" s="18">
        <f t="shared" si="60"/>
        <v>0</v>
      </c>
      <c r="J106" s="18">
        <f t="shared" si="61"/>
        <v>0</v>
      </c>
      <c r="K106" s="36">
        <f t="shared" si="57"/>
        <v>0</v>
      </c>
    </row>
    <row r="107" spans="1:11">
      <c r="A107" s="37" t="s">
        <v>149</v>
      </c>
      <c r="B107" s="38"/>
      <c r="C107" s="38"/>
      <c r="D107" s="38">
        <f>SUM(D79:D106)</f>
        <v>37568.72756282409</v>
      </c>
      <c r="E107" s="38"/>
      <c r="F107" s="38">
        <f>SUM(F79:F106)</f>
        <v>0</v>
      </c>
      <c r="G107" s="38"/>
      <c r="H107" s="38">
        <f>SUM(H79:H106)</f>
        <v>0</v>
      </c>
      <c r="I107" s="38"/>
      <c r="J107" s="38">
        <f>SUM(J79:J106)</f>
        <v>37568.72756282409</v>
      </c>
      <c r="K107" s="38">
        <f t="shared" si="57"/>
        <v>12522.909187608029</v>
      </c>
    </row>
    <row r="109" spans="1:11">
      <c r="A109" s="1" t="s">
        <v>76</v>
      </c>
    </row>
    <row r="110" spans="1:11">
      <c r="A110" s="11" t="s">
        <v>77</v>
      </c>
      <c r="B110" s="60">
        <v>73128.573328014885</v>
      </c>
      <c r="C110" s="132">
        <v>1</v>
      </c>
      <c r="D110" s="18">
        <f t="shared" ref="D110" si="62">B110*C110</f>
        <v>73128.573328014885</v>
      </c>
      <c r="E110" s="132"/>
      <c r="F110" s="18">
        <f t="shared" ref="F110" si="63">E110*B110</f>
        <v>0</v>
      </c>
      <c r="G110" s="132"/>
      <c r="H110" s="18">
        <f t="shared" ref="H110" si="64">G110*B110</f>
        <v>0</v>
      </c>
      <c r="J110" s="18">
        <f t="shared" ref="J110" si="65">D110+F110+H110</f>
        <v>73128.573328014885</v>
      </c>
      <c r="K110" s="36">
        <f t="shared" ref="K110:K122" si="66">J110/3</f>
        <v>24376.191109338295</v>
      </c>
    </row>
    <row r="111" spans="1:11">
      <c r="A111" s="11" t="s">
        <v>78</v>
      </c>
      <c r="B111" s="132"/>
      <c r="C111" s="132">
        <v>1</v>
      </c>
      <c r="D111" s="18">
        <f t="shared" ref="D111:D121" si="67">B111*C111</f>
        <v>0</v>
      </c>
      <c r="E111" s="132"/>
      <c r="F111" s="18">
        <f t="shared" ref="F111:F121" si="68">E111*B111</f>
        <v>0</v>
      </c>
      <c r="G111" s="132"/>
      <c r="H111" s="18">
        <f t="shared" ref="H111:H121" si="69">G111*B111</f>
        <v>0</v>
      </c>
      <c r="J111" s="18">
        <f t="shared" ref="J111:J121" si="70">D111+F111+H111</f>
        <v>0</v>
      </c>
      <c r="K111" s="36">
        <f t="shared" si="66"/>
        <v>0</v>
      </c>
    </row>
    <row r="112" spans="1:11">
      <c r="A112" s="11" t="s">
        <v>79</v>
      </c>
      <c r="B112" s="65">
        <v>63688.339316580234</v>
      </c>
      <c r="C112" s="132">
        <v>1</v>
      </c>
      <c r="D112" s="18">
        <f t="shared" si="67"/>
        <v>63688.339316580234</v>
      </c>
      <c r="E112" s="132"/>
      <c r="F112" s="18">
        <f t="shared" si="68"/>
        <v>0</v>
      </c>
      <c r="G112" s="132"/>
      <c r="H112" s="18">
        <f t="shared" si="69"/>
        <v>0</v>
      </c>
      <c r="J112" s="18">
        <f t="shared" si="70"/>
        <v>63688.339316580234</v>
      </c>
      <c r="K112" s="36">
        <f t="shared" si="66"/>
        <v>21229.446438860079</v>
      </c>
    </row>
    <row r="113" spans="1:11">
      <c r="A113" s="11" t="s">
        <v>80</v>
      </c>
      <c r="B113" s="62">
        <v>2127.3766786331603</v>
      </c>
      <c r="C113" s="132">
        <v>1</v>
      </c>
      <c r="D113" s="18">
        <f t="shared" si="67"/>
        <v>2127.3766786331603</v>
      </c>
      <c r="E113" s="132"/>
      <c r="F113" s="18">
        <f t="shared" si="68"/>
        <v>0</v>
      </c>
      <c r="G113" s="132"/>
      <c r="H113" s="18">
        <f t="shared" si="69"/>
        <v>0</v>
      </c>
      <c r="J113" s="18">
        <f t="shared" si="70"/>
        <v>2127.3766786331603</v>
      </c>
      <c r="K113" s="36">
        <f t="shared" si="66"/>
        <v>709.12555954438676</v>
      </c>
    </row>
    <row r="114" spans="1:11">
      <c r="A114" s="11" t="s">
        <v>81</v>
      </c>
      <c r="B114" s="132"/>
      <c r="C114" s="132">
        <v>1</v>
      </c>
      <c r="D114" s="18">
        <f t="shared" si="67"/>
        <v>0</v>
      </c>
      <c r="E114" s="132"/>
      <c r="F114" s="18">
        <f t="shared" si="68"/>
        <v>0</v>
      </c>
      <c r="G114" s="132"/>
      <c r="H114" s="18">
        <f t="shared" si="69"/>
        <v>0</v>
      </c>
      <c r="J114" s="18">
        <f t="shared" si="70"/>
        <v>0</v>
      </c>
      <c r="K114" s="36">
        <f t="shared" si="66"/>
        <v>0</v>
      </c>
    </row>
    <row r="115" spans="1:11">
      <c r="A115" s="11" t="s">
        <v>82</v>
      </c>
      <c r="B115" s="71">
        <f>531.84416965829+1197+3989</f>
        <v>5717.8441696582904</v>
      </c>
      <c r="C115" s="132">
        <v>1</v>
      </c>
      <c r="D115" s="18">
        <f t="shared" si="67"/>
        <v>5717.8441696582904</v>
      </c>
      <c r="E115" s="132"/>
      <c r="F115" s="18">
        <f t="shared" si="68"/>
        <v>0</v>
      </c>
      <c r="G115" s="132"/>
      <c r="H115" s="18">
        <f t="shared" si="69"/>
        <v>0</v>
      </c>
      <c r="J115" s="18">
        <f t="shared" si="70"/>
        <v>5717.8441696582904</v>
      </c>
      <c r="K115" s="36">
        <f t="shared" si="66"/>
        <v>1905.9480565527635</v>
      </c>
    </row>
    <row r="116" spans="1:11">
      <c r="A116" s="11" t="s">
        <v>83</v>
      </c>
      <c r="B116" s="59">
        <v>20741.922616673313</v>
      </c>
      <c r="C116" s="132">
        <v>1</v>
      </c>
      <c r="D116" s="18">
        <f t="shared" si="67"/>
        <v>20741.922616673313</v>
      </c>
      <c r="E116" s="132"/>
      <c r="F116" s="18">
        <f t="shared" si="68"/>
        <v>0</v>
      </c>
      <c r="G116" s="132"/>
      <c r="H116" s="18">
        <f t="shared" si="69"/>
        <v>0</v>
      </c>
      <c r="J116" s="18">
        <f t="shared" si="70"/>
        <v>20741.922616673313</v>
      </c>
      <c r="K116" s="36">
        <f t="shared" si="66"/>
        <v>6913.9742055577708</v>
      </c>
    </row>
    <row r="117" spans="1:11">
      <c r="A117" s="11" t="s">
        <v>84</v>
      </c>
      <c r="B117" s="132"/>
      <c r="C117" s="132">
        <v>1</v>
      </c>
      <c r="D117" s="18">
        <f t="shared" si="67"/>
        <v>0</v>
      </c>
      <c r="E117" s="132"/>
      <c r="F117" s="18">
        <f t="shared" si="68"/>
        <v>0</v>
      </c>
      <c r="G117" s="132"/>
      <c r="H117" s="18">
        <f t="shared" si="69"/>
        <v>0</v>
      </c>
      <c r="J117" s="18">
        <f t="shared" si="70"/>
        <v>0</v>
      </c>
      <c r="K117" s="36">
        <f t="shared" si="66"/>
        <v>0</v>
      </c>
    </row>
    <row r="118" spans="1:11">
      <c r="A118" s="11" t="s">
        <v>85</v>
      </c>
      <c r="B118" s="66">
        <v>2659.2208482914502</v>
      </c>
      <c r="C118" s="132">
        <v>1</v>
      </c>
      <c r="D118" s="18">
        <f t="shared" si="67"/>
        <v>2659.2208482914502</v>
      </c>
      <c r="E118" s="132"/>
      <c r="F118" s="18">
        <f t="shared" si="68"/>
        <v>0</v>
      </c>
      <c r="G118" s="132"/>
      <c r="H118" s="18">
        <f t="shared" si="69"/>
        <v>0</v>
      </c>
      <c r="J118" s="18">
        <f t="shared" si="70"/>
        <v>2659.2208482914502</v>
      </c>
      <c r="K118" s="36">
        <f t="shared" si="66"/>
        <v>886.40694943048345</v>
      </c>
    </row>
    <row r="119" spans="1:11">
      <c r="A119" s="11" t="s">
        <v>86</v>
      </c>
      <c r="B119" s="132"/>
      <c r="C119" s="132">
        <v>1</v>
      </c>
      <c r="D119" s="18">
        <f t="shared" si="67"/>
        <v>0</v>
      </c>
      <c r="E119" s="132"/>
      <c r="F119" s="18">
        <f t="shared" si="68"/>
        <v>0</v>
      </c>
      <c r="G119" s="132"/>
      <c r="H119" s="18">
        <f t="shared" si="69"/>
        <v>0</v>
      </c>
      <c r="J119" s="18">
        <f t="shared" si="70"/>
        <v>0</v>
      </c>
      <c r="K119" s="36">
        <f t="shared" si="66"/>
        <v>0</v>
      </c>
    </row>
    <row r="120" spans="1:11">
      <c r="A120" s="11" t="s">
        <v>87</v>
      </c>
      <c r="B120" s="63">
        <v>2260.3377210477329</v>
      </c>
      <c r="C120" s="132">
        <v>1</v>
      </c>
      <c r="D120" s="18">
        <f t="shared" si="67"/>
        <v>2260.3377210477329</v>
      </c>
      <c r="E120" s="132"/>
      <c r="F120" s="18">
        <f t="shared" si="68"/>
        <v>0</v>
      </c>
      <c r="G120" s="132"/>
      <c r="H120" s="18">
        <f t="shared" si="69"/>
        <v>0</v>
      </c>
      <c r="J120" s="18">
        <f t="shared" si="70"/>
        <v>2260.3377210477329</v>
      </c>
      <c r="K120" s="36">
        <f t="shared" si="66"/>
        <v>753.44590701591096</v>
      </c>
    </row>
    <row r="121" spans="1:11">
      <c r="A121" s="11" t="s">
        <v>88</v>
      </c>
      <c r="B121" s="57">
        <v>50</v>
      </c>
      <c r="C121" s="132">
        <v>1</v>
      </c>
      <c r="D121" s="18">
        <f t="shared" si="67"/>
        <v>50</v>
      </c>
      <c r="E121" s="132"/>
      <c r="F121" s="18">
        <f t="shared" si="68"/>
        <v>0</v>
      </c>
      <c r="G121" s="132"/>
      <c r="H121" s="18">
        <f t="shared" si="69"/>
        <v>0</v>
      </c>
      <c r="J121" s="18">
        <f t="shared" si="70"/>
        <v>50</v>
      </c>
      <c r="K121" s="36">
        <f t="shared" si="66"/>
        <v>16.666666666666668</v>
      </c>
    </row>
    <row r="122" spans="1:11">
      <c r="A122" s="37" t="s">
        <v>150</v>
      </c>
      <c r="B122" s="38"/>
      <c r="C122" s="38"/>
      <c r="D122" s="38">
        <f>SUM(D110:D121)</f>
        <v>170373.61467889903</v>
      </c>
      <c r="E122" s="38"/>
      <c r="F122" s="38">
        <f>SUM(F110:F121)</f>
        <v>0</v>
      </c>
      <c r="G122" s="38"/>
      <c r="H122" s="38">
        <f>SUM(H110:H121)</f>
        <v>0</v>
      </c>
      <c r="I122" s="38"/>
      <c r="J122" s="38">
        <f>SUM(J110:J121)</f>
        <v>170373.61467889903</v>
      </c>
      <c r="K122" s="38">
        <f t="shared" si="66"/>
        <v>56791.204892966343</v>
      </c>
    </row>
    <row r="123" spans="1:11">
      <c r="A123" s="12"/>
      <c r="B123" s="22"/>
      <c r="C123" s="22"/>
      <c r="D123" s="22"/>
      <c r="E123" s="22"/>
      <c r="F123" s="22"/>
      <c r="G123" s="22"/>
      <c r="H123" s="22"/>
      <c r="I123" s="22"/>
      <c r="J123" s="22"/>
      <c r="K123" s="9"/>
    </row>
    <row r="124" spans="1:11">
      <c r="A124" s="41" t="s">
        <v>135</v>
      </c>
      <c r="B124" s="40"/>
      <c r="C124" s="40"/>
      <c r="D124" s="40">
        <f>D75+D107+D122</f>
        <v>219376.84895625577</v>
      </c>
      <c r="E124" s="40"/>
      <c r="F124" s="40">
        <f>F75+F107+F122</f>
        <v>0</v>
      </c>
      <c r="G124" s="40"/>
      <c r="H124" s="40">
        <f>H75+H107+H122</f>
        <v>0</v>
      </c>
      <c r="I124" s="40"/>
      <c r="J124" s="40">
        <f>J75+J107+J122</f>
        <v>218047.23853211006</v>
      </c>
      <c r="K124" s="40">
        <f t="shared" ref="K124" si="71">J124/3</f>
        <v>72682.412844036691</v>
      </c>
    </row>
    <row r="126" spans="1:11" ht="15.75">
      <c r="A126" s="26" t="s">
        <v>137</v>
      </c>
    </row>
    <row r="127" spans="1:11">
      <c r="A127" s="11" t="s">
        <v>89</v>
      </c>
      <c r="B127" s="132"/>
      <c r="C127" s="132"/>
      <c r="D127" s="18">
        <f t="shared" ref="D127" si="72">B127*C127</f>
        <v>0</v>
      </c>
      <c r="E127" s="132"/>
      <c r="F127" s="18">
        <f t="shared" ref="F127" si="73">E127*B127</f>
        <v>0</v>
      </c>
      <c r="G127" s="132"/>
      <c r="H127" s="18">
        <f t="shared" ref="H127" si="74">G127*B127</f>
        <v>0</v>
      </c>
      <c r="J127" s="18">
        <f t="shared" ref="J127" si="75">D127+F127+H127</f>
        <v>0</v>
      </c>
      <c r="K127" s="36">
        <f t="shared" ref="K127:K144" si="76">J127/3</f>
        <v>0</v>
      </c>
    </row>
    <row r="128" spans="1:11">
      <c r="A128" s="13" t="s">
        <v>90</v>
      </c>
      <c r="B128" s="132"/>
      <c r="C128" s="132"/>
      <c r="D128" s="18">
        <f t="shared" ref="D128:D144" si="77">B128*C128</f>
        <v>0</v>
      </c>
      <c r="E128" s="132"/>
      <c r="F128" s="18">
        <f t="shared" ref="F128:F144" si="78">E128*B128</f>
        <v>0</v>
      </c>
      <c r="G128" s="132"/>
      <c r="H128" s="18">
        <f t="shared" ref="H128:H144" si="79">G128*B128</f>
        <v>0</v>
      </c>
      <c r="J128" s="18">
        <f t="shared" ref="J128:J144" si="80">D128+F128+H128</f>
        <v>0</v>
      </c>
      <c r="K128" s="36">
        <f t="shared" si="76"/>
        <v>0</v>
      </c>
    </row>
    <row r="129" spans="1:11">
      <c r="A129" s="13" t="s">
        <v>91</v>
      </c>
      <c r="B129" s="82">
        <v>425.47533572663207</v>
      </c>
      <c r="C129" s="132">
        <v>1</v>
      </c>
      <c r="D129" s="18">
        <f t="shared" si="77"/>
        <v>425.47533572663207</v>
      </c>
      <c r="E129" s="132"/>
      <c r="F129" s="18">
        <f t="shared" si="78"/>
        <v>0</v>
      </c>
      <c r="G129" s="132"/>
      <c r="H129" s="18">
        <f t="shared" si="79"/>
        <v>0</v>
      </c>
      <c r="J129" s="18">
        <f t="shared" si="80"/>
        <v>425.47533572663207</v>
      </c>
      <c r="K129" s="36">
        <f t="shared" si="76"/>
        <v>141.82511190887735</v>
      </c>
    </row>
    <row r="130" spans="1:11">
      <c r="A130" s="14" t="s">
        <v>92</v>
      </c>
      <c r="B130" s="132"/>
      <c r="C130" s="132"/>
      <c r="D130" s="18">
        <f t="shared" si="77"/>
        <v>0</v>
      </c>
      <c r="E130" s="132"/>
      <c r="F130" s="18">
        <f t="shared" si="78"/>
        <v>0</v>
      </c>
      <c r="G130" s="132"/>
      <c r="H130" s="18">
        <f t="shared" si="79"/>
        <v>0</v>
      </c>
      <c r="J130" s="18">
        <f t="shared" si="80"/>
        <v>0</v>
      </c>
      <c r="K130" s="36">
        <f t="shared" si="76"/>
        <v>0</v>
      </c>
    </row>
    <row r="131" spans="1:11">
      <c r="A131" s="13" t="s">
        <v>93</v>
      </c>
      <c r="B131" s="79">
        <f>4787</f>
        <v>4787</v>
      </c>
      <c r="C131" s="132"/>
      <c r="D131" s="18">
        <f t="shared" si="77"/>
        <v>0</v>
      </c>
      <c r="E131" s="132"/>
      <c r="F131" s="18">
        <f t="shared" si="78"/>
        <v>0</v>
      </c>
      <c r="G131" s="132"/>
      <c r="H131" s="18">
        <f t="shared" si="79"/>
        <v>0</v>
      </c>
      <c r="J131" s="18">
        <f t="shared" si="80"/>
        <v>0</v>
      </c>
      <c r="K131" s="36">
        <f t="shared" si="76"/>
        <v>0</v>
      </c>
    </row>
    <row r="132" spans="1:11">
      <c r="A132" s="13" t="s">
        <v>94</v>
      </c>
      <c r="B132" s="131">
        <v>425</v>
      </c>
      <c r="C132" s="132">
        <v>10</v>
      </c>
      <c r="D132" s="18">
        <f t="shared" si="77"/>
        <v>4250</v>
      </c>
      <c r="E132" s="132"/>
      <c r="F132" s="18">
        <f t="shared" si="78"/>
        <v>0</v>
      </c>
      <c r="G132" s="132"/>
      <c r="H132" s="18">
        <f t="shared" si="79"/>
        <v>0</v>
      </c>
      <c r="J132" s="18">
        <f t="shared" si="80"/>
        <v>4250</v>
      </c>
      <c r="K132" s="36">
        <f t="shared" si="76"/>
        <v>1416.6666666666667</v>
      </c>
    </row>
    <row r="133" spans="1:11">
      <c r="A133" s="13" t="s">
        <v>95</v>
      </c>
      <c r="B133" s="80">
        <v>6807.6053716261131</v>
      </c>
      <c r="C133" s="132">
        <v>1</v>
      </c>
      <c r="D133" s="18">
        <f t="shared" si="77"/>
        <v>6807.6053716261131</v>
      </c>
      <c r="E133" s="132"/>
      <c r="F133" s="18">
        <f t="shared" si="78"/>
        <v>0</v>
      </c>
      <c r="G133" s="132"/>
      <c r="H133" s="18">
        <f t="shared" si="79"/>
        <v>0</v>
      </c>
      <c r="J133" s="18">
        <f t="shared" si="80"/>
        <v>6807.6053716261131</v>
      </c>
      <c r="K133" s="36">
        <f t="shared" si="76"/>
        <v>2269.2017905420375</v>
      </c>
    </row>
    <row r="134" spans="1:11">
      <c r="A134" s="13" t="s">
        <v>32</v>
      </c>
      <c r="B134" s="132"/>
      <c r="C134" s="132"/>
      <c r="D134" s="18">
        <f t="shared" si="77"/>
        <v>0</v>
      </c>
      <c r="E134" s="132"/>
      <c r="F134" s="18">
        <f t="shared" si="78"/>
        <v>0</v>
      </c>
      <c r="G134" s="132"/>
      <c r="H134" s="18">
        <f t="shared" si="79"/>
        <v>0</v>
      </c>
      <c r="J134" s="18">
        <f t="shared" si="80"/>
        <v>0</v>
      </c>
      <c r="K134" s="36">
        <f t="shared" si="76"/>
        <v>0</v>
      </c>
    </row>
    <row r="135" spans="1:11">
      <c r="A135" s="13" t="s">
        <v>96</v>
      </c>
      <c r="B135" s="132"/>
      <c r="C135" s="132"/>
      <c r="D135" s="18">
        <f t="shared" si="77"/>
        <v>0</v>
      </c>
      <c r="E135" s="132"/>
      <c r="F135" s="18">
        <f t="shared" si="78"/>
        <v>0</v>
      </c>
      <c r="G135" s="132"/>
      <c r="H135" s="18">
        <f t="shared" si="79"/>
        <v>0</v>
      </c>
      <c r="J135" s="18">
        <f t="shared" si="80"/>
        <v>0</v>
      </c>
      <c r="K135" s="36">
        <f t="shared" si="76"/>
        <v>0</v>
      </c>
    </row>
    <row r="136" spans="1:11">
      <c r="A136" s="14" t="s">
        <v>97</v>
      </c>
      <c r="B136" s="132"/>
      <c r="C136" s="132"/>
      <c r="D136" s="18">
        <f t="shared" si="77"/>
        <v>0</v>
      </c>
      <c r="E136" s="132"/>
      <c r="F136" s="18">
        <f t="shared" si="78"/>
        <v>0</v>
      </c>
      <c r="G136" s="132"/>
      <c r="H136" s="18">
        <f t="shared" si="79"/>
        <v>0</v>
      </c>
      <c r="J136" s="18">
        <f t="shared" si="80"/>
        <v>0</v>
      </c>
      <c r="K136" s="36">
        <f t="shared" si="76"/>
        <v>0</v>
      </c>
    </row>
    <row r="137" spans="1:11">
      <c r="A137" s="13" t="s">
        <v>90</v>
      </c>
      <c r="B137" s="132"/>
      <c r="C137" s="132"/>
      <c r="D137" s="18">
        <f t="shared" si="77"/>
        <v>0</v>
      </c>
      <c r="E137" s="132"/>
      <c r="F137" s="18">
        <f t="shared" si="78"/>
        <v>0</v>
      </c>
      <c r="G137" s="132"/>
      <c r="H137" s="18">
        <f t="shared" si="79"/>
        <v>0</v>
      </c>
      <c r="J137" s="18">
        <f t="shared" si="80"/>
        <v>0</v>
      </c>
      <c r="K137" s="36">
        <f t="shared" si="76"/>
        <v>0</v>
      </c>
    </row>
    <row r="138" spans="1:11">
      <c r="A138" s="13" t="s">
        <v>91</v>
      </c>
      <c r="B138" s="81">
        <v>4786.597526924611</v>
      </c>
      <c r="C138" s="132">
        <v>1</v>
      </c>
      <c r="D138" s="18">
        <f t="shared" si="77"/>
        <v>4786.597526924611</v>
      </c>
      <c r="E138" s="132"/>
      <c r="F138" s="18">
        <f t="shared" si="78"/>
        <v>0</v>
      </c>
      <c r="G138" s="132"/>
      <c r="H138" s="18">
        <f t="shared" si="79"/>
        <v>0</v>
      </c>
      <c r="J138" s="18">
        <f t="shared" si="80"/>
        <v>4786.597526924611</v>
      </c>
      <c r="K138" s="36">
        <f t="shared" si="76"/>
        <v>1595.5325089748703</v>
      </c>
    </row>
    <row r="139" spans="1:11">
      <c r="A139" s="14" t="s">
        <v>98</v>
      </c>
      <c r="B139" s="132"/>
      <c r="C139" s="132"/>
      <c r="D139" s="18">
        <f t="shared" si="77"/>
        <v>0</v>
      </c>
      <c r="E139" s="132"/>
      <c r="F139" s="18">
        <f t="shared" si="78"/>
        <v>0</v>
      </c>
      <c r="G139" s="132"/>
      <c r="H139" s="18">
        <f t="shared" si="79"/>
        <v>0</v>
      </c>
      <c r="J139" s="18">
        <f t="shared" si="80"/>
        <v>0</v>
      </c>
      <c r="K139" s="36">
        <f t="shared" si="76"/>
        <v>0</v>
      </c>
    </row>
    <row r="140" spans="1:11">
      <c r="A140" s="13" t="s">
        <v>99</v>
      </c>
      <c r="B140" s="77">
        <f>3574+15849</f>
        <v>19423</v>
      </c>
      <c r="C140" s="132">
        <v>1</v>
      </c>
      <c r="D140" s="18">
        <f t="shared" si="77"/>
        <v>19423</v>
      </c>
      <c r="E140" s="132"/>
      <c r="F140" s="18">
        <f t="shared" si="78"/>
        <v>0</v>
      </c>
      <c r="G140" s="132"/>
      <c r="H140" s="18">
        <f t="shared" si="79"/>
        <v>0</v>
      </c>
      <c r="J140" s="18">
        <f t="shared" si="80"/>
        <v>19423</v>
      </c>
      <c r="K140" s="36">
        <f t="shared" si="76"/>
        <v>6474.333333333333</v>
      </c>
    </row>
    <row r="141" spans="1:11">
      <c r="A141" s="13" t="s">
        <v>100</v>
      </c>
      <c r="B141" s="78">
        <v>53609.892301555636</v>
      </c>
      <c r="C141" s="132">
        <v>1</v>
      </c>
      <c r="D141" s="18">
        <f t="shared" si="77"/>
        <v>53609.892301555636</v>
      </c>
      <c r="E141" s="132"/>
      <c r="F141" s="18">
        <f t="shared" si="78"/>
        <v>0</v>
      </c>
      <c r="G141" s="132"/>
      <c r="H141" s="18">
        <f t="shared" si="79"/>
        <v>0</v>
      </c>
      <c r="J141" s="18">
        <f t="shared" si="80"/>
        <v>53609.892301555636</v>
      </c>
      <c r="K141" s="36">
        <f t="shared" si="76"/>
        <v>17869.964100518544</v>
      </c>
    </row>
    <row r="142" spans="1:11">
      <c r="A142" s="14" t="s">
        <v>101</v>
      </c>
      <c r="B142" s="132"/>
      <c r="C142" s="132"/>
      <c r="D142" s="18">
        <f t="shared" si="77"/>
        <v>0</v>
      </c>
      <c r="E142" s="132"/>
      <c r="F142" s="18">
        <f t="shared" si="78"/>
        <v>0</v>
      </c>
      <c r="G142" s="132"/>
      <c r="H142" s="18">
        <f t="shared" si="79"/>
        <v>0</v>
      </c>
      <c r="J142" s="18">
        <f t="shared" si="80"/>
        <v>0</v>
      </c>
      <c r="K142" s="36">
        <f t="shared" si="76"/>
        <v>0</v>
      </c>
    </row>
    <row r="143" spans="1:11">
      <c r="A143" s="15" t="s">
        <v>102</v>
      </c>
      <c r="B143" s="64">
        <v>1196.6493817311527</v>
      </c>
      <c r="C143" s="132">
        <v>1</v>
      </c>
      <c r="D143" s="18">
        <f t="shared" si="77"/>
        <v>1196.6493817311527</v>
      </c>
      <c r="E143" s="132"/>
      <c r="F143" s="18">
        <f t="shared" si="78"/>
        <v>0</v>
      </c>
      <c r="G143" s="132"/>
      <c r="H143" s="18">
        <f t="shared" si="79"/>
        <v>0</v>
      </c>
      <c r="J143" s="18">
        <f t="shared" si="80"/>
        <v>1196.6493817311527</v>
      </c>
      <c r="K143" s="36">
        <f t="shared" si="76"/>
        <v>398.88312724371758</v>
      </c>
    </row>
    <row r="144" spans="1:11">
      <c r="A144" s="15" t="s">
        <v>103</v>
      </c>
      <c r="B144" s="83">
        <v>255.28520143597922</v>
      </c>
      <c r="C144" s="132">
        <v>1</v>
      </c>
      <c r="D144" s="18">
        <f t="shared" si="77"/>
        <v>255.28520143597922</v>
      </c>
      <c r="E144" s="132"/>
      <c r="F144" s="18">
        <f t="shared" si="78"/>
        <v>0</v>
      </c>
      <c r="G144" s="132"/>
      <c r="H144" s="18">
        <f t="shared" si="79"/>
        <v>0</v>
      </c>
      <c r="J144" s="18">
        <f t="shared" si="80"/>
        <v>255.28520143597922</v>
      </c>
      <c r="K144" s="36">
        <f t="shared" si="76"/>
        <v>85.095067145326411</v>
      </c>
    </row>
    <row r="145" spans="1:11">
      <c r="A145" s="16"/>
    </row>
    <row r="146" spans="1:11">
      <c r="A146" s="41" t="s">
        <v>136</v>
      </c>
      <c r="B146" s="40"/>
      <c r="C146" s="40"/>
      <c r="D146" s="40">
        <f>SUM(D127:D145)</f>
        <v>90754.505119000125</v>
      </c>
      <c r="E146" s="40"/>
      <c r="F146" s="40">
        <f>SUM(F127:F145)</f>
        <v>0</v>
      </c>
      <c r="G146" s="40"/>
      <c r="H146" s="40">
        <f>SUM(H127:H145)</f>
        <v>0</v>
      </c>
      <c r="I146" s="40"/>
      <c r="J146" s="40">
        <f>SUM(J127:J145)</f>
        <v>90754.505119000125</v>
      </c>
      <c r="K146" s="40">
        <f t="shared" ref="K146:K148" si="81">J146/3</f>
        <v>30251.501706333376</v>
      </c>
    </row>
    <row r="148" spans="1:11" ht="15.75">
      <c r="A148" s="42" t="s">
        <v>131</v>
      </c>
      <c r="B148" s="43"/>
      <c r="C148" s="43"/>
      <c r="D148" s="43">
        <f>D25+D62+D124+D146</f>
        <v>630266.91543677682</v>
      </c>
      <c r="E148" s="43"/>
      <c r="F148" s="43">
        <f>F25+F62+F124+F146</f>
        <v>0</v>
      </c>
      <c r="G148" s="43"/>
      <c r="H148" s="43">
        <f>H25+H62+H124+H146</f>
        <v>0</v>
      </c>
      <c r="I148" s="43"/>
      <c r="J148" s="43">
        <f>J25+J62+J124+J146</f>
        <v>628937.30501263111</v>
      </c>
      <c r="K148" s="43">
        <f t="shared" si="81"/>
        <v>209645.7683375437</v>
      </c>
    </row>
    <row r="149" spans="1:11">
      <c r="A149" s="44" t="s">
        <v>119</v>
      </c>
      <c r="B149" s="137">
        <v>0.05</v>
      </c>
      <c r="C149" s="132"/>
      <c r="D149" s="45">
        <f>D148*B149</f>
        <v>31513.345771838842</v>
      </c>
      <c r="E149" s="45"/>
      <c r="F149" s="45">
        <f>F148*B149</f>
        <v>0</v>
      </c>
      <c r="G149" s="45"/>
      <c r="H149" s="45">
        <f>H148*B149</f>
        <v>0</v>
      </c>
      <c r="I149" s="45"/>
      <c r="J149" s="45">
        <f>D149+F149+H149</f>
        <v>31513.345771838842</v>
      </c>
      <c r="K149" s="49">
        <f>J149/3</f>
        <v>10504.448590612947</v>
      </c>
    </row>
    <row r="150" spans="1:11" ht="15.75">
      <c r="A150" s="42" t="s">
        <v>132</v>
      </c>
      <c r="B150" s="43"/>
      <c r="C150" s="43"/>
      <c r="D150" s="43">
        <f>D148+D149</f>
        <v>661780.26120861562</v>
      </c>
      <c r="E150" s="43"/>
      <c r="F150" s="43">
        <f>F148+F149</f>
        <v>0</v>
      </c>
      <c r="G150" s="43"/>
      <c r="H150" s="43">
        <f>H148+H149</f>
        <v>0</v>
      </c>
      <c r="I150" s="43"/>
      <c r="J150" s="43">
        <f>J148+J149</f>
        <v>660450.65078446991</v>
      </c>
      <c r="K150" s="43">
        <f>K148+K149</f>
        <v>220150.21692815665</v>
      </c>
    </row>
    <row r="151" spans="1:11">
      <c r="A151" s="53" t="s">
        <v>152</v>
      </c>
      <c r="B151" s="43"/>
      <c r="C151" s="43"/>
      <c r="D151" s="43">
        <f>'Summary-Quick Budget'!C16</f>
        <v>650000</v>
      </c>
      <c r="E151" s="43"/>
      <c r="F151" s="43">
        <f>'Summary-Quick Budget'!D16</f>
        <v>695500</v>
      </c>
      <c r="G151" s="43"/>
      <c r="H151" s="43">
        <f>'Summary-Quick Budget'!E16</f>
        <v>744185</v>
      </c>
      <c r="I151" s="43"/>
      <c r="J151" s="43">
        <f>'Summary-Quick Budget'!F16</f>
        <v>2089685</v>
      </c>
      <c r="K151" s="43">
        <f>J151/3</f>
        <v>696561.66666666663</v>
      </c>
    </row>
    <row r="152" spans="1:11">
      <c r="A152" s="53" t="s">
        <v>153</v>
      </c>
      <c r="B152" s="43"/>
      <c r="C152" s="43"/>
      <c r="D152" s="43">
        <f>D150-D151</f>
        <v>11780.261208615615</v>
      </c>
      <c r="E152" s="43"/>
      <c r="F152" s="43">
        <f>F150-F151</f>
        <v>-695500</v>
      </c>
      <c r="G152" s="43"/>
      <c r="H152" s="43">
        <f>H150-H151</f>
        <v>-744185</v>
      </c>
      <c r="I152" s="43"/>
      <c r="J152" s="43">
        <f>J150-J151</f>
        <v>-1429234.3492155301</v>
      </c>
      <c r="K152" s="43"/>
    </row>
    <row r="153" spans="1:11">
      <c r="A153" s="53" t="s">
        <v>154</v>
      </c>
      <c r="B153" s="43"/>
      <c r="C153" s="43"/>
      <c r="D153" s="52">
        <f>D152/D151</f>
        <v>1.8123478782485561E-2</v>
      </c>
      <c r="E153" s="43"/>
      <c r="F153" s="52">
        <f>F152/F151</f>
        <v>-1</v>
      </c>
      <c r="G153" s="43"/>
      <c r="H153" s="52">
        <f>H152/H151</f>
        <v>-1</v>
      </c>
      <c r="I153" s="43"/>
      <c r="J153" s="52">
        <f>J152/J151</f>
        <v>-0.68394726918915061</v>
      </c>
      <c r="K153" s="51"/>
    </row>
    <row r="154" spans="1:11">
      <c r="A154" s="1"/>
      <c r="D154" s="19"/>
    </row>
    <row r="155" spans="1:11">
      <c r="A155" s="2" t="s">
        <v>133</v>
      </c>
      <c r="D155" s="18">
        <f>'Financial Metrics'!B6</f>
        <v>10000000</v>
      </c>
      <c r="F155" s="18">
        <f>'Financial Metrics'!C6</f>
        <v>10700000</v>
      </c>
      <c r="H155" s="18">
        <f>'Financial Metrics'!D6</f>
        <v>11449000</v>
      </c>
      <c r="J155" s="18">
        <f>D155+F155+H155</f>
        <v>32149000</v>
      </c>
      <c r="K155" s="36">
        <f>J155/3</f>
        <v>10716333.333333334</v>
      </c>
    </row>
    <row r="156" spans="1:11">
      <c r="A156" s="2"/>
    </row>
    <row r="157" spans="1:11">
      <c r="A157" s="2" t="s">
        <v>134</v>
      </c>
      <c r="D157" s="46">
        <f>D150/D155</f>
        <v>6.6178026120861558E-2</v>
      </c>
      <c r="F157" s="46">
        <f>F150/F155</f>
        <v>0</v>
      </c>
      <c r="H157" s="46">
        <f>H150/H155</f>
        <v>0</v>
      </c>
      <c r="J157" s="46">
        <f>J150/J155</f>
        <v>2.0543427502705214E-2</v>
      </c>
      <c r="K157" s="46">
        <f>K150/K155</f>
        <v>2.0543427502705214E-2</v>
      </c>
    </row>
    <row r="158" spans="1:11">
      <c r="A158" s="47" t="s">
        <v>151</v>
      </c>
      <c r="D158" s="18">
        <f>'Financial Metrics'!B12</f>
        <v>66</v>
      </c>
      <c r="F158" s="18">
        <f>'Financial Metrics'!C12</f>
        <v>69</v>
      </c>
      <c r="H158" s="18">
        <f>'Financial Metrics'!D12</f>
        <v>71</v>
      </c>
    </row>
    <row r="159" spans="1:11">
      <c r="A159" s="47" t="s">
        <v>157</v>
      </c>
      <c r="D159" s="18">
        <f>D150/D158</f>
        <v>10026.973654675994</v>
      </c>
      <c r="F159" s="18">
        <f>F150/'Financial Metrics'!C12</f>
        <v>0</v>
      </c>
      <c r="H159" s="18">
        <f>H150/'Financial Metrics'!D12</f>
        <v>0</v>
      </c>
    </row>
    <row r="160" spans="1:11">
      <c r="A160" s="2" t="s">
        <v>114</v>
      </c>
      <c r="D160" s="18">
        <f>D155/D158</f>
        <v>151515.15151515152</v>
      </c>
      <c r="F160" s="18">
        <f>'Financial Metrics'!C13</f>
        <v>156060.60606060608</v>
      </c>
      <c r="H160" s="18">
        <f>'Financial Metrics'!D13</f>
        <v>160742.42424242425</v>
      </c>
    </row>
    <row r="182" spans="2:4" ht="15.75">
      <c r="B182" s="35"/>
      <c r="C182" s="35"/>
    </row>
    <row r="183" spans="2:4" ht="18">
      <c r="B183" s="29"/>
      <c r="C183" s="29"/>
      <c r="D183" s="29"/>
    </row>
    <row r="184" spans="2:4">
      <c r="B184" s="32"/>
      <c r="C184" s="32"/>
    </row>
  </sheetData>
  <sheetProtection sheet="1" objects="1" scenarios="1" selectLockedCells="1"/>
  <mergeCells count="4">
    <mergeCell ref="C4:D4"/>
    <mergeCell ref="E4:F4"/>
    <mergeCell ref="G4:H4"/>
    <mergeCell ref="I4:J4"/>
  </mergeCells>
  <conditionalFormatting sqref="D152">
    <cfRule type="cellIs" dxfId="4" priority="2" operator="lessThan">
      <formula>0</formula>
    </cfRule>
    <cfRule type="cellIs" dxfId="3" priority="5" operator="greaterThan">
      <formula>0</formula>
    </cfRule>
  </conditionalFormatting>
  <conditionalFormatting sqref="D153">
    <cfRule type="cellIs" dxfId="2" priority="1" operator="lessThan">
      <formula>0</formula>
    </cfRule>
    <cfRule type="cellIs" dxfId="1" priority="3" operator="greaterThan">
      <formula>0</formula>
    </cfRule>
    <cfRule type="cellIs" dxfId="0" priority="4" operator="greaterThan">
      <formula>0.02</formula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409b7cf6-49f3-4dfc-8a19-bcd79b09062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99304EAEA4214EB47C017FD09B7628" ma:contentTypeVersion="1" ma:contentTypeDescription="Create a new document." ma:contentTypeScope="" ma:versionID="387e62ff269b1edf9bd573dd9a63a707">
  <xsd:schema xmlns:xsd="http://www.w3.org/2001/XMLSchema" xmlns:xs="http://www.w3.org/2001/XMLSchema" xmlns:p="http://schemas.microsoft.com/office/2006/metadata/properties" xmlns:ns2="409b7cf6-49f3-4dfc-8a19-bcd79b090621" targetNamespace="http://schemas.microsoft.com/office/2006/metadata/properties" ma:root="true" ma:fieldsID="36f108309ca19ccf65203bc00bc8c9ee" ns2:_="">
    <xsd:import namespace="409b7cf6-49f3-4dfc-8a19-bcd79b090621"/>
    <xsd:element name="properties">
      <xsd:complexType>
        <xsd:sequence>
          <xsd:element name="documentManagement">
            <xsd:complexType>
              <xsd:all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b7cf6-49f3-4dfc-8a19-bcd79b090621" elementFormDefault="qualified">
    <xsd:import namespace="http://schemas.microsoft.com/office/2006/documentManagement/types"/>
    <xsd:import namespace="http://schemas.microsoft.com/office/infopath/2007/PartnerControls"/>
    <xsd:element name="Topic" ma:index="8" nillable="true" ma:displayName="Topic" ma:description="Add in related topic here." ma:list="{d4305e1a-bd0e-4390-bacc-120449e7b1cd}" ma:internalName="Topic" ma:showField="LinkTitleNoMenu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D34BA0-9861-4840-88BD-016741699D40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409b7cf6-49f3-4dfc-8a19-bcd79b09062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4B52E1-EFAB-4139-95CB-A9E6DD90A2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9b7cf6-49f3-4dfc-8a19-bcd79b0906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82C71C-6E3E-46DB-A454-B0CF7CE910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Metrics</vt:lpstr>
      <vt:lpstr>Summary-Quick Budget</vt:lpstr>
      <vt:lpstr>New Detailed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McCall</dc:creator>
  <cp:lastModifiedBy>Scott Morrill</cp:lastModifiedBy>
  <dcterms:created xsi:type="dcterms:W3CDTF">2012-04-16T15:41:56Z</dcterms:created>
  <dcterms:modified xsi:type="dcterms:W3CDTF">2014-01-13T16:58:54Z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0x010100E299304EAEA4214EB47C017FD09B7628</vt:lpwstr>
  </property>
</Properties>
</file>